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6.xml" ContentType="application/vnd.ms-excel.controlproperties+xml"/>
  <Override PartName="/xl/ctrlProps/ctrlProp11.xml" ContentType="application/vnd.ms-excel.controlproperties+xml"/>
  <Override PartName="/xl/ctrlProps/ctrlProp5.xml" ContentType="application/vnd.ms-excel.controlproperties+xml"/>
  <Override PartName="/xl/ctrlProps/ctrlProp12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480" yWindow="300" windowWidth="15600" windowHeight="8265" tabRatio="810" activeTab="3"/>
  </bookViews>
  <sheets>
    <sheet name="Student List" sheetId="5" r:id="rId1"/>
    <sheet name="Student Details" sheetId="2" r:id="rId2"/>
    <sheet name="Master" sheetId="317" state="hidden" r:id="rId3"/>
    <sheet name="First Test" sheetId="3" r:id="rId4"/>
    <sheet name="Second Test" sheetId="4" r:id="rId5"/>
    <sheet name="Third test" sheetId="6" r:id="rId6"/>
    <sheet name="End Survey" sheetId="303" r:id="rId7"/>
    <sheet name="Analysis" sheetId="7" r:id="rId8"/>
    <sheet name="Exam Marks" sheetId="250" r:id="rId9"/>
    <sheet name="Final Analysis" sheetId="302" state="hidden" r:id="rId10"/>
    <sheet name="Overall Analysis" sheetId="324" state="hidden" r:id="rId11"/>
  </sheets>
  <definedNames>
    <definedName name="_xlnm._FilterDatabase" localSheetId="8" hidden="1">'Exam Marks'!$A$17:$J$97</definedName>
    <definedName name="_xlnm._FilterDatabase" localSheetId="4" hidden="1">'Second Test'!$Z$14:$AA$89</definedName>
    <definedName name="_xlnm.Print_Titles" localSheetId="8">'Exam Marks'!$1:$15</definedName>
    <definedName name="_xlnm.Print_Titles" localSheetId="3">'First Test'!$1:$14</definedName>
    <definedName name="_xlnm.Print_Titles" localSheetId="4">'Second Test'!$1:$14</definedName>
    <definedName name="_xlnm.Print_Titles" localSheetId="5">'Third test'!$1:$14</definedName>
  </definedNames>
  <calcPr calcId="124519"/>
</workbook>
</file>

<file path=xl/calcChain.xml><?xml version="1.0" encoding="utf-8"?>
<calcChain xmlns="http://schemas.openxmlformats.org/spreadsheetml/2006/main">
  <c r="B82" i="250"/>
  <c r="B81"/>
  <c r="B80"/>
  <c r="B79"/>
  <c r="L6"/>
  <c r="K21" s="1"/>
  <c r="K10"/>
  <c r="K9"/>
  <c r="K8"/>
  <c r="K7"/>
  <c r="H11"/>
  <c r="H10"/>
  <c r="H9"/>
  <c r="H8"/>
  <c r="H7"/>
  <c r="C8" i="302"/>
  <c r="C7"/>
  <c r="C6"/>
  <c r="C5"/>
  <c r="C4"/>
  <c r="M6" i="250" l="1"/>
  <c r="K17"/>
  <c r="K19"/>
  <c r="K76"/>
  <c r="K74"/>
  <c r="K72"/>
  <c r="K70"/>
  <c r="K68"/>
  <c r="K66"/>
  <c r="K64"/>
  <c r="K62"/>
  <c r="K60"/>
  <c r="K58"/>
  <c r="K56"/>
  <c r="K54"/>
  <c r="K52"/>
  <c r="K50"/>
  <c r="K48"/>
  <c r="K46"/>
  <c r="K44"/>
  <c r="K42"/>
  <c r="K40"/>
  <c r="K38"/>
  <c r="K36"/>
  <c r="K34"/>
  <c r="K32"/>
  <c r="K30"/>
  <c r="K28"/>
  <c r="K26"/>
  <c r="K24"/>
  <c r="K22"/>
  <c r="K81"/>
  <c r="K75"/>
  <c r="K73"/>
  <c r="K71"/>
  <c r="K69"/>
  <c r="K67"/>
  <c r="K65"/>
  <c r="K63"/>
  <c r="K61"/>
  <c r="K59"/>
  <c r="K57"/>
  <c r="K55"/>
  <c r="K53"/>
  <c r="K51"/>
  <c r="K49"/>
  <c r="K47"/>
  <c r="K45"/>
  <c r="K43"/>
  <c r="K41"/>
  <c r="K39"/>
  <c r="K37"/>
  <c r="K35"/>
  <c r="K33"/>
  <c r="K31"/>
  <c r="K29"/>
  <c r="K27"/>
  <c r="K25"/>
  <c r="K23"/>
  <c r="K16"/>
  <c r="K18"/>
  <c r="K20"/>
  <c r="O16" i="303"/>
  <c r="G8" i="302" s="1"/>
  <c r="N16" i="303"/>
  <c r="F8" i="302" s="1"/>
  <c r="M16" i="303"/>
  <c r="E8" i="302" s="1"/>
  <c r="O15" i="303"/>
  <c r="G7" i="302" s="1"/>
  <c r="N15" i="303"/>
  <c r="F7" i="302" s="1"/>
  <c r="M15" i="303"/>
  <c r="E7" i="302" s="1"/>
  <c r="O14" i="303"/>
  <c r="G6" i="302" s="1"/>
  <c r="N14" i="303"/>
  <c r="F6" i="302" s="1"/>
  <c r="M14" i="303"/>
  <c r="E6" i="302" s="1"/>
  <c r="O13" i="303"/>
  <c r="G5" i="302" s="1"/>
  <c r="N13" i="303"/>
  <c r="F5" i="302" s="1"/>
  <c r="M13" i="303"/>
  <c r="E5" i="302" s="1"/>
  <c r="O12" i="303"/>
  <c r="G4" i="302" s="1"/>
  <c r="N12" i="303"/>
  <c r="F4" i="302" s="1"/>
  <c r="M12" i="303"/>
  <c r="E4" i="302" s="1"/>
  <c r="H16" i="7"/>
  <c r="H15"/>
  <c r="H14"/>
  <c r="S80" i="6"/>
  <c r="E88" s="1"/>
  <c r="P80"/>
  <c r="E87" s="1"/>
  <c r="M80"/>
  <c r="E86" s="1"/>
  <c r="H78"/>
  <c r="G78"/>
  <c r="F78"/>
  <c r="E78"/>
  <c r="H77"/>
  <c r="H79" s="1"/>
  <c r="G77"/>
  <c r="G79" s="1"/>
  <c r="F77"/>
  <c r="F79" s="1"/>
  <c r="E77"/>
  <c r="E79" s="1"/>
  <c r="J81"/>
  <c r="J80"/>
  <c r="J79"/>
  <c r="B78"/>
  <c r="J78"/>
  <c r="S75"/>
  <c r="T75" s="1"/>
  <c r="P75"/>
  <c r="Q75" s="1"/>
  <c r="M75"/>
  <c r="N75" s="1"/>
  <c r="S74"/>
  <c r="T74" s="1"/>
  <c r="P74"/>
  <c r="Q74" s="1"/>
  <c r="M74"/>
  <c r="N74" s="1"/>
  <c r="O74" s="1"/>
  <c r="S73"/>
  <c r="T73" s="1"/>
  <c r="P73"/>
  <c r="Q73" s="1"/>
  <c r="M73"/>
  <c r="N73" s="1"/>
  <c r="S72"/>
  <c r="T72" s="1"/>
  <c r="P72"/>
  <c r="Q72" s="1"/>
  <c r="M72"/>
  <c r="N72" s="1"/>
  <c r="S71"/>
  <c r="T71" s="1"/>
  <c r="U71" s="1"/>
  <c r="P71"/>
  <c r="Q71" s="1"/>
  <c r="M71"/>
  <c r="N71" s="1"/>
  <c r="S70"/>
  <c r="T70" s="1"/>
  <c r="P70"/>
  <c r="Q70" s="1"/>
  <c r="M70"/>
  <c r="N70" s="1"/>
  <c r="S69"/>
  <c r="T69" s="1"/>
  <c r="P69"/>
  <c r="Q69" s="1"/>
  <c r="M69"/>
  <c r="N69" s="1"/>
  <c r="S68"/>
  <c r="T68" s="1"/>
  <c r="P68"/>
  <c r="Q68" s="1"/>
  <c r="M68"/>
  <c r="N68" s="1"/>
  <c r="O68" s="1"/>
  <c r="S67"/>
  <c r="T67" s="1"/>
  <c r="P67"/>
  <c r="Q67" s="1"/>
  <c r="M67"/>
  <c r="N67" s="1"/>
  <c r="S66"/>
  <c r="T66" s="1"/>
  <c r="P66"/>
  <c r="Q66" s="1"/>
  <c r="M66"/>
  <c r="N66" s="1"/>
  <c r="S65"/>
  <c r="T65" s="1"/>
  <c r="P65"/>
  <c r="Q65" s="1"/>
  <c r="M65"/>
  <c r="N65" s="1"/>
  <c r="S64"/>
  <c r="T64" s="1"/>
  <c r="P64"/>
  <c r="Q64" s="1"/>
  <c r="M64"/>
  <c r="N64" s="1"/>
  <c r="O64" s="1"/>
  <c r="S63"/>
  <c r="T63" s="1"/>
  <c r="P63"/>
  <c r="Q63" s="1"/>
  <c r="M63"/>
  <c r="N63" s="1"/>
  <c r="S62"/>
  <c r="T62" s="1"/>
  <c r="P62"/>
  <c r="Q62" s="1"/>
  <c r="M62"/>
  <c r="N62" s="1"/>
  <c r="O62" s="1"/>
  <c r="S61"/>
  <c r="T61" s="1"/>
  <c r="P61"/>
  <c r="Q61" s="1"/>
  <c r="M61"/>
  <c r="N61" s="1"/>
  <c r="S60"/>
  <c r="T60" s="1"/>
  <c r="P60"/>
  <c r="Q60" s="1"/>
  <c r="M60"/>
  <c r="N60" s="1"/>
  <c r="S59"/>
  <c r="T59" s="1"/>
  <c r="P59"/>
  <c r="Q59" s="1"/>
  <c r="M59"/>
  <c r="N59" s="1"/>
  <c r="S58"/>
  <c r="T58" s="1"/>
  <c r="P58"/>
  <c r="Q58" s="1"/>
  <c r="R58" s="1"/>
  <c r="M58"/>
  <c r="N58" s="1"/>
  <c r="S57"/>
  <c r="T57" s="1"/>
  <c r="P57"/>
  <c r="Q57" s="1"/>
  <c r="M57"/>
  <c r="N57" s="1"/>
  <c r="S56"/>
  <c r="T56" s="1"/>
  <c r="P56"/>
  <c r="Q56" s="1"/>
  <c r="M56"/>
  <c r="N56" s="1"/>
  <c r="O56" s="1"/>
  <c r="S55"/>
  <c r="T55" s="1"/>
  <c r="P55"/>
  <c r="Q55" s="1"/>
  <c r="M55"/>
  <c r="N55" s="1"/>
  <c r="S54"/>
  <c r="T54" s="1"/>
  <c r="P54"/>
  <c r="Q54" s="1"/>
  <c r="R54" s="1"/>
  <c r="M54"/>
  <c r="N54" s="1"/>
  <c r="O54" s="1"/>
  <c r="S53"/>
  <c r="T53" s="1"/>
  <c r="P53"/>
  <c r="Q53" s="1"/>
  <c r="M53"/>
  <c r="N53" s="1"/>
  <c r="S52"/>
  <c r="T52" s="1"/>
  <c r="P52"/>
  <c r="Q52" s="1"/>
  <c r="M52"/>
  <c r="N52" s="1"/>
  <c r="S51"/>
  <c r="T51" s="1"/>
  <c r="U51" s="1"/>
  <c r="P51"/>
  <c r="Q51" s="1"/>
  <c r="M51"/>
  <c r="N51" s="1"/>
  <c r="S50"/>
  <c r="T50" s="1"/>
  <c r="P50"/>
  <c r="Q50" s="1"/>
  <c r="M50"/>
  <c r="N50" s="1"/>
  <c r="S49"/>
  <c r="T49" s="1"/>
  <c r="P49"/>
  <c r="Q49" s="1"/>
  <c r="M49"/>
  <c r="N49" s="1"/>
  <c r="S48"/>
  <c r="T48" s="1"/>
  <c r="P48"/>
  <c r="Q48" s="1"/>
  <c r="M48"/>
  <c r="N48" s="1"/>
  <c r="S47"/>
  <c r="T47" s="1"/>
  <c r="P47"/>
  <c r="Q47" s="1"/>
  <c r="M47"/>
  <c r="N47" s="1"/>
  <c r="S46"/>
  <c r="T46" s="1"/>
  <c r="P46"/>
  <c r="Q46" s="1"/>
  <c r="M46"/>
  <c r="N46" s="1"/>
  <c r="S45"/>
  <c r="T45" s="1"/>
  <c r="P45"/>
  <c r="Q45" s="1"/>
  <c r="M45"/>
  <c r="N45" s="1"/>
  <c r="S44"/>
  <c r="T44" s="1"/>
  <c r="P44"/>
  <c r="Q44" s="1"/>
  <c r="M44"/>
  <c r="N44" s="1"/>
  <c r="S43"/>
  <c r="T43" s="1"/>
  <c r="P43"/>
  <c r="Q43" s="1"/>
  <c r="M43"/>
  <c r="N43" s="1"/>
  <c r="S42"/>
  <c r="T42" s="1"/>
  <c r="P42"/>
  <c r="Q42" s="1"/>
  <c r="M42"/>
  <c r="N42" s="1"/>
  <c r="O42" s="1"/>
  <c r="S41"/>
  <c r="T41" s="1"/>
  <c r="P41"/>
  <c r="Q41" s="1"/>
  <c r="M41"/>
  <c r="N41" s="1"/>
  <c r="S40"/>
  <c r="T40" s="1"/>
  <c r="P40"/>
  <c r="Q40" s="1"/>
  <c r="M40"/>
  <c r="N40" s="1"/>
  <c r="S39"/>
  <c r="T39" s="1"/>
  <c r="P39"/>
  <c r="Q39" s="1"/>
  <c r="M39"/>
  <c r="N39" s="1"/>
  <c r="S38"/>
  <c r="T38" s="1"/>
  <c r="P38"/>
  <c r="Q38" s="1"/>
  <c r="M38"/>
  <c r="N38" s="1"/>
  <c r="S37"/>
  <c r="T37" s="1"/>
  <c r="P37"/>
  <c r="Q37" s="1"/>
  <c r="M37"/>
  <c r="N37" s="1"/>
  <c r="O37" s="1"/>
  <c r="S36"/>
  <c r="T36" s="1"/>
  <c r="P36"/>
  <c r="Q36" s="1"/>
  <c r="M36"/>
  <c r="N36" s="1"/>
  <c r="S35"/>
  <c r="T35" s="1"/>
  <c r="P35"/>
  <c r="Q35" s="1"/>
  <c r="M35"/>
  <c r="N35" s="1"/>
  <c r="S34"/>
  <c r="T34" s="1"/>
  <c r="P34"/>
  <c r="Q34" s="1"/>
  <c r="M34"/>
  <c r="N34" s="1"/>
  <c r="S33"/>
  <c r="T33" s="1"/>
  <c r="U33" s="1"/>
  <c r="P33"/>
  <c r="Q33" s="1"/>
  <c r="M33"/>
  <c r="N33" s="1"/>
  <c r="O33" s="1"/>
  <c r="S32"/>
  <c r="T32" s="1"/>
  <c r="P32"/>
  <c r="Q32" s="1"/>
  <c r="M32"/>
  <c r="N32" s="1"/>
  <c r="S31"/>
  <c r="T31" s="1"/>
  <c r="P31"/>
  <c r="Q31" s="1"/>
  <c r="M31"/>
  <c r="N31" s="1"/>
  <c r="S30"/>
  <c r="T30" s="1"/>
  <c r="P30"/>
  <c r="Q30" s="1"/>
  <c r="M30"/>
  <c r="N30" s="1"/>
  <c r="S29"/>
  <c r="T29" s="1"/>
  <c r="P29"/>
  <c r="Q29" s="1"/>
  <c r="M29"/>
  <c r="N29" s="1"/>
  <c r="S28"/>
  <c r="T28" s="1"/>
  <c r="P28"/>
  <c r="Q28" s="1"/>
  <c r="M28"/>
  <c r="N28" s="1"/>
  <c r="S27"/>
  <c r="T27" s="1"/>
  <c r="U27" s="1"/>
  <c r="P27"/>
  <c r="Q27" s="1"/>
  <c r="M27"/>
  <c r="N27" s="1"/>
  <c r="O27" s="1"/>
  <c r="S26"/>
  <c r="T26" s="1"/>
  <c r="P26"/>
  <c r="Q26" s="1"/>
  <c r="M26"/>
  <c r="N26" s="1"/>
  <c r="O26" s="1"/>
  <c r="S25"/>
  <c r="T25" s="1"/>
  <c r="P25"/>
  <c r="Q25" s="1"/>
  <c r="M25"/>
  <c r="N25" s="1"/>
  <c r="S24"/>
  <c r="T24" s="1"/>
  <c r="P24"/>
  <c r="Q24" s="1"/>
  <c r="M24"/>
  <c r="N24" s="1"/>
  <c r="S23"/>
  <c r="T23" s="1"/>
  <c r="P23"/>
  <c r="Q23" s="1"/>
  <c r="M23"/>
  <c r="N23" s="1"/>
  <c r="O23" s="1"/>
  <c r="S22"/>
  <c r="T22" s="1"/>
  <c r="P22"/>
  <c r="Q22" s="1"/>
  <c r="M22"/>
  <c r="N22" s="1"/>
  <c r="S21"/>
  <c r="T21" s="1"/>
  <c r="U21" s="1"/>
  <c r="P21"/>
  <c r="Q21" s="1"/>
  <c r="M21"/>
  <c r="N21" s="1"/>
  <c r="S20"/>
  <c r="T20" s="1"/>
  <c r="P20"/>
  <c r="Q20" s="1"/>
  <c r="M20"/>
  <c r="N20" s="1"/>
  <c r="S19"/>
  <c r="T19" s="1"/>
  <c r="P19"/>
  <c r="Q19" s="1"/>
  <c r="M19"/>
  <c r="N19" s="1"/>
  <c r="S18"/>
  <c r="T18" s="1"/>
  <c r="P18"/>
  <c r="Q18" s="1"/>
  <c r="M18"/>
  <c r="N18" s="1"/>
  <c r="S17"/>
  <c r="T17" s="1"/>
  <c r="P17"/>
  <c r="Q17" s="1"/>
  <c r="M17"/>
  <c r="N17" s="1"/>
  <c r="S16"/>
  <c r="T16" s="1"/>
  <c r="P16"/>
  <c r="Q16" s="1"/>
  <c r="M16"/>
  <c r="N16" s="1"/>
  <c r="S15"/>
  <c r="T15" s="1"/>
  <c r="U15" s="1"/>
  <c r="P15"/>
  <c r="M15"/>
  <c r="N15" s="1"/>
  <c r="O15" s="1"/>
  <c r="U14"/>
  <c r="R14"/>
  <c r="O14"/>
  <c r="H13" i="7"/>
  <c r="H12"/>
  <c r="V80" i="4"/>
  <c r="E86" s="1"/>
  <c r="S80"/>
  <c r="E85" s="1"/>
  <c r="P80"/>
  <c r="E84" s="1"/>
  <c r="K78"/>
  <c r="J78"/>
  <c r="I78"/>
  <c r="H78"/>
  <c r="G78"/>
  <c r="F78"/>
  <c r="E78"/>
  <c r="K77"/>
  <c r="K79" s="1"/>
  <c r="J77"/>
  <c r="J79" s="1"/>
  <c r="I77"/>
  <c r="I79" s="1"/>
  <c r="H77"/>
  <c r="H79" s="1"/>
  <c r="G77"/>
  <c r="G79" s="1"/>
  <c r="F77"/>
  <c r="F79" s="1"/>
  <c r="E77"/>
  <c r="E79" s="1"/>
  <c r="M81"/>
  <c r="M80"/>
  <c r="M79"/>
  <c r="B78"/>
  <c r="M78"/>
  <c r="V75"/>
  <c r="W75" s="1"/>
  <c r="S75"/>
  <c r="T75" s="1"/>
  <c r="P75"/>
  <c r="Q75" s="1"/>
  <c r="V74"/>
  <c r="W74" s="1"/>
  <c r="S74"/>
  <c r="T74" s="1"/>
  <c r="P74"/>
  <c r="Q74" s="1"/>
  <c r="V73"/>
  <c r="W73" s="1"/>
  <c r="S73"/>
  <c r="T73" s="1"/>
  <c r="P73"/>
  <c r="Q73" s="1"/>
  <c r="V72"/>
  <c r="W72" s="1"/>
  <c r="S72"/>
  <c r="T72" s="1"/>
  <c r="P72"/>
  <c r="Q72" s="1"/>
  <c r="V71"/>
  <c r="W71" s="1"/>
  <c r="S71"/>
  <c r="T71" s="1"/>
  <c r="P71"/>
  <c r="Q71" s="1"/>
  <c r="V70"/>
  <c r="W70" s="1"/>
  <c r="X70" s="1"/>
  <c r="S70"/>
  <c r="T70" s="1"/>
  <c r="P70"/>
  <c r="Q70" s="1"/>
  <c r="V69"/>
  <c r="W69" s="1"/>
  <c r="S69"/>
  <c r="T69" s="1"/>
  <c r="P69"/>
  <c r="Q69" s="1"/>
  <c r="V68"/>
  <c r="W68" s="1"/>
  <c r="S68"/>
  <c r="T68" s="1"/>
  <c r="P68"/>
  <c r="Q68" s="1"/>
  <c r="V67"/>
  <c r="W67" s="1"/>
  <c r="S67"/>
  <c r="T67" s="1"/>
  <c r="P67"/>
  <c r="Q67" s="1"/>
  <c r="V66"/>
  <c r="W66" s="1"/>
  <c r="S66"/>
  <c r="T66" s="1"/>
  <c r="P66"/>
  <c r="Q66" s="1"/>
  <c r="V65"/>
  <c r="W65" s="1"/>
  <c r="S65"/>
  <c r="T65" s="1"/>
  <c r="P65"/>
  <c r="Q65" s="1"/>
  <c r="V64"/>
  <c r="W64" s="1"/>
  <c r="S64"/>
  <c r="T64" s="1"/>
  <c r="P64"/>
  <c r="Q64" s="1"/>
  <c r="V63"/>
  <c r="W63" s="1"/>
  <c r="X63" s="1"/>
  <c r="S63"/>
  <c r="T63" s="1"/>
  <c r="P63"/>
  <c r="Q63" s="1"/>
  <c r="V62"/>
  <c r="W62" s="1"/>
  <c r="X62" s="1"/>
  <c r="S62"/>
  <c r="T62" s="1"/>
  <c r="P62"/>
  <c r="Q62" s="1"/>
  <c r="V61"/>
  <c r="W61" s="1"/>
  <c r="X61" s="1"/>
  <c r="S61"/>
  <c r="T61" s="1"/>
  <c r="P61"/>
  <c r="Q61" s="1"/>
  <c r="R61" s="1"/>
  <c r="V60"/>
  <c r="W60" s="1"/>
  <c r="S60"/>
  <c r="T60" s="1"/>
  <c r="P60"/>
  <c r="Q60" s="1"/>
  <c r="V59"/>
  <c r="W59" s="1"/>
  <c r="S59"/>
  <c r="T59" s="1"/>
  <c r="P59"/>
  <c r="Q59" s="1"/>
  <c r="V58"/>
  <c r="W58" s="1"/>
  <c r="S58"/>
  <c r="T58" s="1"/>
  <c r="P58"/>
  <c r="Q58" s="1"/>
  <c r="V57"/>
  <c r="W57" s="1"/>
  <c r="S57"/>
  <c r="T57" s="1"/>
  <c r="P57"/>
  <c r="Q57" s="1"/>
  <c r="V56"/>
  <c r="W56" s="1"/>
  <c r="S56"/>
  <c r="T56" s="1"/>
  <c r="P56"/>
  <c r="Q56" s="1"/>
  <c r="V55"/>
  <c r="W55" s="1"/>
  <c r="S55"/>
  <c r="T55" s="1"/>
  <c r="P55"/>
  <c r="Q55" s="1"/>
  <c r="V54"/>
  <c r="W54" s="1"/>
  <c r="S54"/>
  <c r="T54" s="1"/>
  <c r="P54"/>
  <c r="Q54" s="1"/>
  <c r="V53"/>
  <c r="W53" s="1"/>
  <c r="X53" s="1"/>
  <c r="S53"/>
  <c r="T53" s="1"/>
  <c r="P53"/>
  <c r="Q53" s="1"/>
  <c r="V52"/>
  <c r="W52" s="1"/>
  <c r="S52"/>
  <c r="T52" s="1"/>
  <c r="P52"/>
  <c r="Q52" s="1"/>
  <c r="V51"/>
  <c r="W51" s="1"/>
  <c r="S51"/>
  <c r="T51" s="1"/>
  <c r="P51"/>
  <c r="Q51" s="1"/>
  <c r="V50"/>
  <c r="W50" s="1"/>
  <c r="S50"/>
  <c r="T50" s="1"/>
  <c r="P50"/>
  <c r="Q50" s="1"/>
  <c r="V49"/>
  <c r="W49" s="1"/>
  <c r="S49"/>
  <c r="T49" s="1"/>
  <c r="P49"/>
  <c r="Q49" s="1"/>
  <c r="V48"/>
  <c r="W48" s="1"/>
  <c r="S48"/>
  <c r="T48" s="1"/>
  <c r="P48"/>
  <c r="Q48" s="1"/>
  <c r="V47"/>
  <c r="W47" s="1"/>
  <c r="S47"/>
  <c r="T47" s="1"/>
  <c r="P47"/>
  <c r="Q47" s="1"/>
  <c r="V46"/>
  <c r="W46" s="1"/>
  <c r="S46"/>
  <c r="T46" s="1"/>
  <c r="P46"/>
  <c r="Q46" s="1"/>
  <c r="V45"/>
  <c r="W45" s="1"/>
  <c r="S45"/>
  <c r="T45" s="1"/>
  <c r="P45"/>
  <c r="Q45" s="1"/>
  <c r="V44"/>
  <c r="W44" s="1"/>
  <c r="S44"/>
  <c r="T44" s="1"/>
  <c r="P44"/>
  <c r="Q44" s="1"/>
  <c r="V43"/>
  <c r="W43" s="1"/>
  <c r="S43"/>
  <c r="T43" s="1"/>
  <c r="P43"/>
  <c r="Q43" s="1"/>
  <c r="V42"/>
  <c r="W42" s="1"/>
  <c r="X42" s="1"/>
  <c r="S42"/>
  <c r="T42" s="1"/>
  <c r="P42"/>
  <c r="Q42" s="1"/>
  <c r="V41"/>
  <c r="W41" s="1"/>
  <c r="S41"/>
  <c r="T41" s="1"/>
  <c r="P41"/>
  <c r="Q41" s="1"/>
  <c r="V40"/>
  <c r="W40" s="1"/>
  <c r="S40"/>
  <c r="T40" s="1"/>
  <c r="P40"/>
  <c r="Q40" s="1"/>
  <c r="V39"/>
  <c r="W39" s="1"/>
  <c r="S39"/>
  <c r="T39" s="1"/>
  <c r="P39"/>
  <c r="Q39" s="1"/>
  <c r="V38"/>
  <c r="W38" s="1"/>
  <c r="S38"/>
  <c r="T38" s="1"/>
  <c r="P38"/>
  <c r="Q38" s="1"/>
  <c r="V37"/>
  <c r="W37" s="1"/>
  <c r="S37"/>
  <c r="T37" s="1"/>
  <c r="P37"/>
  <c r="Q37" s="1"/>
  <c r="V36"/>
  <c r="W36" s="1"/>
  <c r="S36"/>
  <c r="T36" s="1"/>
  <c r="P36"/>
  <c r="Q36" s="1"/>
  <c r="V35"/>
  <c r="W35" s="1"/>
  <c r="S35"/>
  <c r="T35" s="1"/>
  <c r="P35"/>
  <c r="Q35" s="1"/>
  <c r="V34"/>
  <c r="W34" s="1"/>
  <c r="S34"/>
  <c r="T34" s="1"/>
  <c r="P34"/>
  <c r="Q34" s="1"/>
  <c r="V33"/>
  <c r="W33" s="1"/>
  <c r="S33"/>
  <c r="T33" s="1"/>
  <c r="P33"/>
  <c r="Q33" s="1"/>
  <c r="V32"/>
  <c r="W32" s="1"/>
  <c r="S32"/>
  <c r="T32" s="1"/>
  <c r="P32"/>
  <c r="Q32" s="1"/>
  <c r="V31"/>
  <c r="W31" s="1"/>
  <c r="S31"/>
  <c r="T31" s="1"/>
  <c r="P31"/>
  <c r="Q31" s="1"/>
  <c r="V30"/>
  <c r="W30" s="1"/>
  <c r="S30"/>
  <c r="T30" s="1"/>
  <c r="P30"/>
  <c r="Q30" s="1"/>
  <c r="V29"/>
  <c r="W29" s="1"/>
  <c r="S29"/>
  <c r="T29" s="1"/>
  <c r="P29"/>
  <c r="Q29" s="1"/>
  <c r="V28"/>
  <c r="W28" s="1"/>
  <c r="S28"/>
  <c r="T28" s="1"/>
  <c r="P28"/>
  <c r="Q28" s="1"/>
  <c r="V27"/>
  <c r="W27" s="1"/>
  <c r="S27"/>
  <c r="T27" s="1"/>
  <c r="P27"/>
  <c r="Q27" s="1"/>
  <c r="V26"/>
  <c r="W26" s="1"/>
  <c r="S26"/>
  <c r="T26" s="1"/>
  <c r="P26"/>
  <c r="Q26" s="1"/>
  <c r="V25"/>
  <c r="W25" s="1"/>
  <c r="S25"/>
  <c r="T25" s="1"/>
  <c r="P25"/>
  <c r="Q25" s="1"/>
  <c r="V24"/>
  <c r="W24" s="1"/>
  <c r="S24"/>
  <c r="T24" s="1"/>
  <c r="P24"/>
  <c r="Q24" s="1"/>
  <c r="V23"/>
  <c r="W23" s="1"/>
  <c r="S23"/>
  <c r="T23" s="1"/>
  <c r="P23"/>
  <c r="Q23" s="1"/>
  <c r="V22"/>
  <c r="W22" s="1"/>
  <c r="S22"/>
  <c r="T22" s="1"/>
  <c r="P22"/>
  <c r="Q22" s="1"/>
  <c r="V21"/>
  <c r="W21" s="1"/>
  <c r="S21"/>
  <c r="T21" s="1"/>
  <c r="P21"/>
  <c r="Q21" s="1"/>
  <c r="V20"/>
  <c r="W20" s="1"/>
  <c r="S20"/>
  <c r="T20" s="1"/>
  <c r="P20"/>
  <c r="Q20" s="1"/>
  <c r="V19"/>
  <c r="W19" s="1"/>
  <c r="S19"/>
  <c r="T19" s="1"/>
  <c r="P19"/>
  <c r="Q19" s="1"/>
  <c r="V18"/>
  <c r="W18" s="1"/>
  <c r="S18"/>
  <c r="T18" s="1"/>
  <c r="P18"/>
  <c r="Q18" s="1"/>
  <c r="V17"/>
  <c r="W17" s="1"/>
  <c r="S17"/>
  <c r="T17" s="1"/>
  <c r="P17"/>
  <c r="Q17" s="1"/>
  <c r="V16"/>
  <c r="W16" s="1"/>
  <c r="S16"/>
  <c r="T16" s="1"/>
  <c r="P16"/>
  <c r="Q16" s="1"/>
  <c r="V15"/>
  <c r="S15"/>
  <c r="T15" s="1"/>
  <c r="P15"/>
  <c r="X14"/>
  <c r="U14"/>
  <c r="R14"/>
  <c r="P80" i="3"/>
  <c r="E85" s="1"/>
  <c r="M80"/>
  <c r="E84" s="1"/>
  <c r="H78"/>
  <c r="G78"/>
  <c r="F78"/>
  <c r="E78"/>
  <c r="H77"/>
  <c r="H79" s="1"/>
  <c r="G77"/>
  <c r="G79" s="1"/>
  <c r="F77"/>
  <c r="F79" s="1"/>
  <c r="E77"/>
  <c r="E79" s="1"/>
  <c r="J81"/>
  <c r="J80"/>
  <c r="J79"/>
  <c r="B78"/>
  <c r="J78"/>
  <c r="P75"/>
  <c r="Q75" s="1"/>
  <c r="M75"/>
  <c r="N75" s="1"/>
  <c r="P74"/>
  <c r="Q74" s="1"/>
  <c r="M74"/>
  <c r="N74" s="1"/>
  <c r="P73"/>
  <c r="Q73" s="1"/>
  <c r="M73"/>
  <c r="N73" s="1"/>
  <c r="P72"/>
  <c r="Q72" s="1"/>
  <c r="M72"/>
  <c r="N72" s="1"/>
  <c r="P71"/>
  <c r="Q71" s="1"/>
  <c r="M71"/>
  <c r="N71" s="1"/>
  <c r="P70"/>
  <c r="Q70" s="1"/>
  <c r="M70"/>
  <c r="N70" s="1"/>
  <c r="P69"/>
  <c r="Q69" s="1"/>
  <c r="M69"/>
  <c r="N69" s="1"/>
  <c r="P68"/>
  <c r="Q68" s="1"/>
  <c r="M68"/>
  <c r="N68" s="1"/>
  <c r="P67"/>
  <c r="Q67" s="1"/>
  <c r="M67"/>
  <c r="N67" s="1"/>
  <c r="P66"/>
  <c r="Q66" s="1"/>
  <c r="M66"/>
  <c r="N66" s="1"/>
  <c r="P65"/>
  <c r="Q65" s="1"/>
  <c r="M65"/>
  <c r="N65" s="1"/>
  <c r="P64"/>
  <c r="Q64" s="1"/>
  <c r="M64"/>
  <c r="N64" s="1"/>
  <c r="P63"/>
  <c r="Q63" s="1"/>
  <c r="M63"/>
  <c r="N63" s="1"/>
  <c r="P62"/>
  <c r="Q62" s="1"/>
  <c r="M62"/>
  <c r="N62" s="1"/>
  <c r="P61"/>
  <c r="Q61" s="1"/>
  <c r="M61"/>
  <c r="N61" s="1"/>
  <c r="P60"/>
  <c r="Q60" s="1"/>
  <c r="M60"/>
  <c r="N60" s="1"/>
  <c r="P59"/>
  <c r="Q59" s="1"/>
  <c r="M59"/>
  <c r="N59" s="1"/>
  <c r="P58"/>
  <c r="Q58" s="1"/>
  <c r="M58"/>
  <c r="N58" s="1"/>
  <c r="P57"/>
  <c r="Q57" s="1"/>
  <c r="M57"/>
  <c r="N57" s="1"/>
  <c r="P56"/>
  <c r="Q56" s="1"/>
  <c r="M56"/>
  <c r="N56" s="1"/>
  <c r="P55"/>
  <c r="Q55" s="1"/>
  <c r="M55"/>
  <c r="N55" s="1"/>
  <c r="P54"/>
  <c r="Q54" s="1"/>
  <c r="M54"/>
  <c r="N54" s="1"/>
  <c r="P53"/>
  <c r="Q53" s="1"/>
  <c r="M53"/>
  <c r="N53" s="1"/>
  <c r="P52"/>
  <c r="Q52" s="1"/>
  <c r="M52"/>
  <c r="N52" s="1"/>
  <c r="P51"/>
  <c r="Q51" s="1"/>
  <c r="M51"/>
  <c r="N51" s="1"/>
  <c r="P50"/>
  <c r="Q50" s="1"/>
  <c r="M50"/>
  <c r="N50" s="1"/>
  <c r="P49"/>
  <c r="Q49" s="1"/>
  <c r="M49"/>
  <c r="N49" s="1"/>
  <c r="P48"/>
  <c r="Q48" s="1"/>
  <c r="M48"/>
  <c r="N48" s="1"/>
  <c r="P47"/>
  <c r="Q47" s="1"/>
  <c r="M47"/>
  <c r="N47" s="1"/>
  <c r="P46"/>
  <c r="Q46" s="1"/>
  <c r="M46"/>
  <c r="N46" s="1"/>
  <c r="P45"/>
  <c r="Q45" s="1"/>
  <c r="M45"/>
  <c r="N45" s="1"/>
  <c r="P44"/>
  <c r="Q44" s="1"/>
  <c r="M44"/>
  <c r="N44" s="1"/>
  <c r="P43"/>
  <c r="Q43" s="1"/>
  <c r="M43"/>
  <c r="N43" s="1"/>
  <c r="P42"/>
  <c r="Q42" s="1"/>
  <c r="R42" s="1"/>
  <c r="M42"/>
  <c r="N42" s="1"/>
  <c r="P41"/>
  <c r="Q41" s="1"/>
  <c r="M41"/>
  <c r="N41" s="1"/>
  <c r="P40"/>
  <c r="Q40" s="1"/>
  <c r="M40"/>
  <c r="N40" s="1"/>
  <c r="P39"/>
  <c r="Q39" s="1"/>
  <c r="M39"/>
  <c r="N39" s="1"/>
  <c r="P38"/>
  <c r="Q38" s="1"/>
  <c r="M38"/>
  <c r="N38" s="1"/>
  <c r="P37"/>
  <c r="Q37" s="1"/>
  <c r="M37"/>
  <c r="N37" s="1"/>
  <c r="P36"/>
  <c r="Q36" s="1"/>
  <c r="M36"/>
  <c r="N36" s="1"/>
  <c r="P35"/>
  <c r="Q35" s="1"/>
  <c r="M35"/>
  <c r="N35" s="1"/>
  <c r="P34"/>
  <c r="Q34" s="1"/>
  <c r="M34"/>
  <c r="N34" s="1"/>
  <c r="P33"/>
  <c r="Q33" s="1"/>
  <c r="M33"/>
  <c r="N33" s="1"/>
  <c r="P32"/>
  <c r="Q32" s="1"/>
  <c r="M32"/>
  <c r="N32" s="1"/>
  <c r="P31"/>
  <c r="Q31" s="1"/>
  <c r="R31" s="1"/>
  <c r="M31"/>
  <c r="N31" s="1"/>
  <c r="P30"/>
  <c r="Q30" s="1"/>
  <c r="M30"/>
  <c r="N30" s="1"/>
  <c r="P29"/>
  <c r="Q29" s="1"/>
  <c r="R29" s="1"/>
  <c r="M29"/>
  <c r="N29" s="1"/>
  <c r="P28"/>
  <c r="Q28" s="1"/>
  <c r="R28" s="1"/>
  <c r="M28"/>
  <c r="N28" s="1"/>
  <c r="P27"/>
  <c r="Q27" s="1"/>
  <c r="M27"/>
  <c r="N27" s="1"/>
  <c r="P26"/>
  <c r="Q26" s="1"/>
  <c r="M26"/>
  <c r="N26" s="1"/>
  <c r="P25"/>
  <c r="Q25" s="1"/>
  <c r="R25" s="1"/>
  <c r="M25"/>
  <c r="N25" s="1"/>
  <c r="P24"/>
  <c r="Q24" s="1"/>
  <c r="M24"/>
  <c r="N24" s="1"/>
  <c r="P23"/>
  <c r="Q23" s="1"/>
  <c r="M23"/>
  <c r="N23" s="1"/>
  <c r="P22"/>
  <c r="Q22" s="1"/>
  <c r="M22"/>
  <c r="N22" s="1"/>
  <c r="P21"/>
  <c r="Q21" s="1"/>
  <c r="M21"/>
  <c r="N21" s="1"/>
  <c r="P20"/>
  <c r="Q20" s="1"/>
  <c r="R20" s="1"/>
  <c r="M20"/>
  <c r="N20" s="1"/>
  <c r="P19"/>
  <c r="Q19" s="1"/>
  <c r="M19"/>
  <c r="N19" s="1"/>
  <c r="P18"/>
  <c r="Q18" s="1"/>
  <c r="M18"/>
  <c r="N18" s="1"/>
  <c r="P17"/>
  <c r="Q17" s="1"/>
  <c r="M17"/>
  <c r="N17" s="1"/>
  <c r="P16"/>
  <c r="Q16" s="1"/>
  <c r="M16"/>
  <c r="N16" s="1"/>
  <c r="P15"/>
  <c r="M15"/>
  <c r="N15" s="1"/>
  <c r="R14"/>
  <c r="O14"/>
  <c r="K79" i="250" l="1"/>
  <c r="K80" s="1"/>
  <c r="K78"/>
  <c r="O15" i="3"/>
  <c r="O23"/>
  <c r="O31"/>
  <c r="O16"/>
  <c r="O17"/>
  <c r="O24"/>
  <c r="O25"/>
  <c r="O19"/>
  <c r="O20"/>
  <c r="O21"/>
  <c r="O27"/>
  <c r="O28"/>
  <c r="O29"/>
  <c r="O35"/>
  <c r="O36"/>
  <c r="O37"/>
  <c r="R17" i="4"/>
  <c r="X17"/>
  <c r="R19"/>
  <c r="O32" i="3"/>
  <c r="O33"/>
  <c r="U16" i="6"/>
  <c r="O17"/>
  <c r="U17"/>
  <c r="U39" i="4"/>
  <c r="O18" i="3"/>
  <c r="O22"/>
  <c r="O26"/>
  <c r="O30"/>
  <c r="O34"/>
  <c r="O38"/>
  <c r="U15" i="4"/>
  <c r="R16"/>
  <c r="X16"/>
  <c r="R18"/>
  <c r="X18"/>
  <c r="U31"/>
  <c r="P77" i="6"/>
  <c r="R16"/>
  <c r="O18"/>
  <c r="O19"/>
  <c r="R24"/>
  <c r="U23" i="4"/>
  <c r="U43"/>
  <c r="U47"/>
  <c r="U51"/>
  <c r="R20" i="6"/>
  <c r="R18" i="3"/>
  <c r="R16"/>
  <c r="R43"/>
  <c r="R47"/>
  <c r="R51"/>
  <c r="R55"/>
  <c r="R59"/>
  <c r="R63"/>
  <c r="R67"/>
  <c r="R71"/>
  <c r="R75"/>
  <c r="R41"/>
  <c r="R45"/>
  <c r="R49"/>
  <c r="R53"/>
  <c r="R57"/>
  <c r="R61"/>
  <c r="R65"/>
  <c r="R69"/>
  <c r="R73"/>
  <c r="R24"/>
  <c r="R30"/>
  <c r="R32"/>
  <c r="R34"/>
  <c r="P77"/>
  <c r="R17"/>
  <c r="R19"/>
  <c r="R21"/>
  <c r="R23"/>
  <c r="R27"/>
  <c r="R33"/>
  <c r="R35"/>
  <c r="R37"/>
  <c r="R39"/>
  <c r="O41"/>
  <c r="O43"/>
  <c r="O45"/>
  <c r="O47"/>
  <c r="O49"/>
  <c r="O51"/>
  <c r="O53"/>
  <c r="O55"/>
  <c r="O57"/>
  <c r="O59"/>
  <c r="O61"/>
  <c r="O63"/>
  <c r="O65"/>
  <c r="O67"/>
  <c r="O69"/>
  <c r="O71"/>
  <c r="O73"/>
  <c r="O75"/>
  <c r="P77" i="4"/>
  <c r="U16"/>
  <c r="U17"/>
  <c r="U18"/>
  <c r="X19"/>
  <c r="R20"/>
  <c r="X20"/>
  <c r="R21"/>
  <c r="X21"/>
  <c r="R22"/>
  <c r="X22"/>
  <c r="R23"/>
  <c r="U24"/>
  <c r="U25"/>
  <c r="U26"/>
  <c r="X27"/>
  <c r="R28"/>
  <c r="X28"/>
  <c r="R29"/>
  <c r="X29"/>
  <c r="R30"/>
  <c r="X30"/>
  <c r="R31"/>
  <c r="U32"/>
  <c r="U33"/>
  <c r="U34"/>
  <c r="X35"/>
  <c r="R36"/>
  <c r="X36"/>
  <c r="R37"/>
  <c r="X37"/>
  <c r="R38"/>
  <c r="X38"/>
  <c r="R39"/>
  <c r="U40"/>
  <c r="U41"/>
  <c r="U42"/>
  <c r="X43"/>
  <c r="R44"/>
  <c r="X44"/>
  <c r="R45"/>
  <c r="X45"/>
  <c r="R46"/>
  <c r="X46"/>
  <c r="R47"/>
  <c r="U48"/>
  <c r="U49"/>
  <c r="U50"/>
  <c r="X51"/>
  <c r="R52"/>
  <c r="X52"/>
  <c r="R53"/>
  <c r="R54"/>
  <c r="X54"/>
  <c r="R55"/>
  <c r="X55"/>
  <c r="R56"/>
  <c r="X56"/>
  <c r="R57"/>
  <c r="U58"/>
  <c r="U60"/>
  <c r="U72"/>
  <c r="R22" i="3"/>
  <c r="R26"/>
  <c r="R36"/>
  <c r="R38"/>
  <c r="O39"/>
  <c r="O40"/>
  <c r="R40"/>
  <c r="O42"/>
  <c r="O44"/>
  <c r="R44"/>
  <c r="O46"/>
  <c r="R46"/>
  <c r="O48"/>
  <c r="R48"/>
  <c r="O50"/>
  <c r="R50"/>
  <c r="O52"/>
  <c r="R52"/>
  <c r="O54"/>
  <c r="R54"/>
  <c r="O56"/>
  <c r="R56"/>
  <c r="O58"/>
  <c r="R58"/>
  <c r="O60"/>
  <c r="R60"/>
  <c r="O62"/>
  <c r="R62"/>
  <c r="O64"/>
  <c r="R64"/>
  <c r="O66"/>
  <c r="R66"/>
  <c r="O68"/>
  <c r="R68"/>
  <c r="O70"/>
  <c r="R70"/>
  <c r="O72"/>
  <c r="R72"/>
  <c r="O74"/>
  <c r="R74"/>
  <c r="U19" i="4"/>
  <c r="U20"/>
  <c r="U21"/>
  <c r="U22"/>
  <c r="X23"/>
  <c r="R24"/>
  <c r="X24"/>
  <c r="R25"/>
  <c r="X25"/>
  <c r="R26"/>
  <c r="X26"/>
  <c r="R27"/>
  <c r="U27"/>
  <c r="U28"/>
  <c r="U29"/>
  <c r="U30"/>
  <c r="X31"/>
  <c r="R32"/>
  <c r="X32"/>
  <c r="R33"/>
  <c r="X33"/>
  <c r="R34"/>
  <c r="X34"/>
  <c r="R35"/>
  <c r="U35"/>
  <c r="U36"/>
  <c r="U37"/>
  <c r="U38"/>
  <c r="X39"/>
  <c r="R40"/>
  <c r="X40"/>
  <c r="R41"/>
  <c r="X41"/>
  <c r="R42"/>
  <c r="R43"/>
  <c r="U44"/>
  <c r="U45"/>
  <c r="U46"/>
  <c r="X47"/>
  <c r="R48"/>
  <c r="X48"/>
  <c r="R49"/>
  <c r="X49"/>
  <c r="R50"/>
  <c r="X50"/>
  <c r="R51"/>
  <c r="U52"/>
  <c r="U53"/>
  <c r="U54"/>
  <c r="U55"/>
  <c r="U56"/>
  <c r="U57"/>
  <c r="U59"/>
  <c r="U61"/>
  <c r="X57"/>
  <c r="R58"/>
  <c r="X58"/>
  <c r="R59"/>
  <c r="X59"/>
  <c r="R60"/>
  <c r="X60"/>
  <c r="R62"/>
  <c r="R63"/>
  <c r="R64"/>
  <c r="X64"/>
  <c r="R65"/>
  <c r="X65"/>
  <c r="R66"/>
  <c r="X66"/>
  <c r="R67"/>
  <c r="X67"/>
  <c r="R68"/>
  <c r="X68"/>
  <c r="R69"/>
  <c r="X69"/>
  <c r="R70"/>
  <c r="R71"/>
  <c r="X71"/>
  <c r="R72"/>
  <c r="U73"/>
  <c r="U74"/>
  <c r="U75"/>
  <c r="O16" i="6"/>
  <c r="R17"/>
  <c r="U18"/>
  <c r="O20"/>
  <c r="R21"/>
  <c r="U22"/>
  <c r="O24"/>
  <c r="O25"/>
  <c r="U26"/>
  <c r="R29"/>
  <c r="U29"/>
  <c r="R30"/>
  <c r="O32"/>
  <c r="R32"/>
  <c r="U34"/>
  <c r="O35"/>
  <c r="U35"/>
  <c r="R37"/>
  <c r="U37"/>
  <c r="R38"/>
  <c r="O40"/>
  <c r="R40"/>
  <c r="O41"/>
  <c r="U42"/>
  <c r="O43"/>
  <c r="U43"/>
  <c r="R45"/>
  <c r="U45"/>
  <c r="R46"/>
  <c r="O48"/>
  <c r="R48"/>
  <c r="O49"/>
  <c r="U50"/>
  <c r="O51"/>
  <c r="R53"/>
  <c r="U54"/>
  <c r="R55"/>
  <c r="U56"/>
  <c r="R57"/>
  <c r="O58"/>
  <c r="U58"/>
  <c r="R59"/>
  <c r="U64"/>
  <c r="U62" i="4"/>
  <c r="U63"/>
  <c r="S78" s="1"/>
  <c r="U64"/>
  <c r="U65"/>
  <c r="U66"/>
  <c r="U67"/>
  <c r="U68"/>
  <c r="U69"/>
  <c r="U70"/>
  <c r="U71"/>
  <c r="X72"/>
  <c r="R73"/>
  <c r="X73"/>
  <c r="R74"/>
  <c r="X74"/>
  <c r="R75"/>
  <c r="X75"/>
  <c r="R18" i="6"/>
  <c r="R19"/>
  <c r="U19"/>
  <c r="U20"/>
  <c r="O21"/>
  <c r="O22"/>
  <c r="R22"/>
  <c r="R23"/>
  <c r="U23"/>
  <c r="U24"/>
  <c r="R25"/>
  <c r="U25"/>
  <c r="R26"/>
  <c r="O28"/>
  <c r="R28"/>
  <c r="O29"/>
  <c r="U30"/>
  <c r="O31"/>
  <c r="U31"/>
  <c r="R33"/>
  <c r="R34"/>
  <c r="O36"/>
  <c r="R36"/>
  <c r="U38"/>
  <c r="O39"/>
  <c r="U39"/>
  <c r="R41"/>
  <c r="U41"/>
  <c r="R42"/>
  <c r="O44"/>
  <c r="R44"/>
  <c r="O45"/>
  <c r="U46"/>
  <c r="O47"/>
  <c r="U47"/>
  <c r="R49"/>
  <c r="U49"/>
  <c r="R50"/>
  <c r="O52"/>
  <c r="O53"/>
  <c r="U53"/>
  <c r="O55"/>
  <c r="U55"/>
  <c r="R56"/>
  <c r="O57"/>
  <c r="U57"/>
  <c r="O59"/>
  <c r="U60"/>
  <c r="R63"/>
  <c r="O66"/>
  <c r="R27"/>
  <c r="U28"/>
  <c r="O30"/>
  <c r="R31"/>
  <c r="U32"/>
  <c r="O34"/>
  <c r="R35"/>
  <c r="U36"/>
  <c r="O38"/>
  <c r="R39"/>
  <c r="U40"/>
  <c r="R43"/>
  <c r="U44"/>
  <c r="O46"/>
  <c r="R47"/>
  <c r="U48"/>
  <c r="O50"/>
  <c r="R51"/>
  <c r="U52"/>
  <c r="R60"/>
  <c r="U61"/>
  <c r="O63"/>
  <c r="R64"/>
  <c r="U65"/>
  <c r="R67"/>
  <c r="O69"/>
  <c r="R69"/>
  <c r="O70"/>
  <c r="O72"/>
  <c r="U72"/>
  <c r="R75"/>
  <c r="R52"/>
  <c r="U59"/>
  <c r="O60"/>
  <c r="O61"/>
  <c r="R61"/>
  <c r="R62"/>
  <c r="U62"/>
  <c r="U63"/>
  <c r="O65"/>
  <c r="R65"/>
  <c r="R66"/>
  <c r="U66"/>
  <c r="U67"/>
  <c r="U68"/>
  <c r="R70"/>
  <c r="U70"/>
  <c r="R71"/>
  <c r="O73"/>
  <c r="R73"/>
  <c r="O67"/>
  <c r="R68"/>
  <c r="U69"/>
  <c r="O71"/>
  <c r="R72"/>
  <c r="U73"/>
  <c r="O75"/>
  <c r="R74"/>
  <c r="U74"/>
  <c r="U75"/>
  <c r="F81"/>
  <c r="H81"/>
  <c r="M77"/>
  <c r="Q15"/>
  <c r="R15" s="1"/>
  <c r="S77"/>
  <c r="E81"/>
  <c r="G81"/>
  <c r="S77" i="4"/>
  <c r="V77"/>
  <c r="E81"/>
  <c r="G81"/>
  <c r="I81"/>
  <c r="K81"/>
  <c r="Q15"/>
  <c r="R15" s="1"/>
  <c r="W15"/>
  <c r="X15" s="1"/>
  <c r="F81"/>
  <c r="H81"/>
  <c r="J81"/>
  <c r="M77" i="3"/>
  <c r="Q15"/>
  <c r="R15" s="1"/>
  <c r="E81"/>
  <c r="G81"/>
  <c r="F81"/>
  <c r="H81"/>
  <c r="V78" i="4" l="1"/>
  <c r="V79" s="1"/>
  <c r="K82" i="250"/>
  <c r="N6"/>
  <c r="L3" i="302" s="1"/>
  <c r="P78" i="6"/>
  <c r="P79" s="1"/>
  <c r="P81" s="1"/>
  <c r="P78" i="3"/>
  <c r="P79" s="1"/>
  <c r="D85" s="1"/>
  <c r="P78" i="4"/>
  <c r="P79" s="1"/>
  <c r="E12" i="7" s="1"/>
  <c r="M78" i="6"/>
  <c r="M79" s="1"/>
  <c r="M78" i="3"/>
  <c r="M79" s="1"/>
  <c r="D12" i="7" s="1"/>
  <c r="S78" i="6"/>
  <c r="S79" s="1"/>
  <c r="F15" i="7"/>
  <c r="G15" s="1"/>
  <c r="S79" i="4"/>
  <c r="E13" i="7" s="1"/>
  <c r="P81" i="4"/>
  <c r="D13" i="7"/>
  <c r="P81" i="3"/>
  <c r="B85" i="250"/>
  <c r="B84"/>
  <c r="B83"/>
  <c r="D86" i="4" l="1"/>
  <c r="V81"/>
  <c r="E14" i="7"/>
  <c r="D87" i="6"/>
  <c r="D84" i="4"/>
  <c r="G12" i="7"/>
  <c r="D84" i="3"/>
  <c r="M81"/>
  <c r="D86" i="6"/>
  <c r="F14" i="7"/>
  <c r="D88" i="6"/>
  <c r="F16" i="7"/>
  <c r="G16" s="1"/>
  <c r="S81" i="6"/>
  <c r="G13" i="7"/>
  <c r="M81" i="6"/>
  <c r="D85" i="4"/>
  <c r="G14" i="7"/>
  <c r="S81" i="4"/>
  <c r="K84" i="250"/>
  <c r="K83" l="1"/>
  <c r="K85" l="1"/>
  <c r="AC5" i="5" l="1"/>
  <c r="AR5"/>
  <c r="AC8" l="1"/>
  <c r="AE5"/>
  <c r="AD5"/>
  <c r="L3" i="324"/>
  <c r="AD8" i="5" l="1"/>
  <c r="AF5"/>
  <c r="AK5"/>
  <c r="K45" i="2"/>
  <c r="K44"/>
  <c r="K43"/>
  <c r="K34"/>
  <c r="K33"/>
  <c r="K32"/>
  <c r="K20"/>
  <c r="K19"/>
  <c r="K18"/>
  <c r="AR19" i="5"/>
  <c r="AT18"/>
  <c r="AR18"/>
  <c r="AR17"/>
  <c r="AR16"/>
  <c r="AR15"/>
  <c r="AR14"/>
  <c r="AR13"/>
  <c r="AR12"/>
  <c r="AR11"/>
  <c r="AR10"/>
  <c r="AR9"/>
  <c r="AR8"/>
  <c r="AR7"/>
  <c r="AR6"/>
  <c r="AZ5"/>
  <c r="AX5"/>
  <c r="AX4"/>
  <c r="AR4"/>
  <c r="AI5" l="1"/>
  <c r="AG5"/>
  <c r="AJ5" s="1"/>
  <c r="E4" i="324"/>
  <c r="G4"/>
  <c r="E5"/>
  <c r="G5"/>
  <c r="E6"/>
  <c r="G6"/>
  <c r="E7"/>
  <c r="G7"/>
  <c r="E8"/>
  <c r="G8"/>
  <c r="F4"/>
  <c r="F5"/>
  <c r="F6"/>
  <c r="F7"/>
  <c r="F8"/>
  <c r="AL5" i="5" l="1"/>
  <c r="AM5" s="1"/>
  <c r="AL6"/>
  <c r="AH5"/>
  <c r="AN5" l="1"/>
  <c r="L7" s="1"/>
  <c r="V3" l="1"/>
  <c r="F16" s="1"/>
  <c r="K40" i="2" s="1"/>
  <c r="V8" i="5"/>
  <c r="F26" s="1"/>
  <c r="D44" i="302" s="1"/>
  <c r="V6" i="5"/>
  <c r="F22" s="1"/>
  <c r="B9" i="324" s="1"/>
  <c r="V5" i="5"/>
  <c r="F20" s="1"/>
  <c r="K42" i="2" s="1"/>
  <c r="V4" i="5"/>
  <c r="F18" s="1"/>
  <c r="K30" i="2" s="1"/>
  <c r="V2" i="5"/>
  <c r="F14" s="1"/>
  <c r="B5" i="302" s="1"/>
  <c r="V1" i="5"/>
  <c r="F12" s="1"/>
  <c r="B4" i="324" s="1"/>
  <c r="V7" i="5"/>
  <c r="F24" s="1"/>
  <c r="D79" i="324" s="1"/>
  <c r="D81" i="302" l="1"/>
  <c r="K39" i="2"/>
  <c r="D57" i="302"/>
  <c r="D45" i="324"/>
  <c r="B11" i="302"/>
  <c r="B5" i="324"/>
  <c r="K14" i="2"/>
  <c r="B11" i="324"/>
  <c r="D83"/>
  <c r="D21"/>
  <c r="D59"/>
  <c r="D20" i="302"/>
  <c r="K28" i="2"/>
  <c r="K17"/>
  <c r="D32" i="302"/>
  <c r="D41" i="324"/>
  <c r="K31" i="2"/>
  <c r="D33" i="324"/>
  <c r="D40" i="302"/>
  <c r="B8" i="324"/>
  <c r="D71"/>
  <c r="B10"/>
  <c r="D77" i="302"/>
  <c r="D69"/>
  <c r="D75" i="324"/>
  <c r="B8" i="302"/>
  <c r="B10"/>
  <c r="K27" i="2"/>
  <c r="D65" i="302"/>
  <c r="B4"/>
  <c r="B6" i="324"/>
  <c r="B6" i="302"/>
  <c r="D53"/>
  <c r="K41" i="2"/>
  <c r="D36" i="302"/>
  <c r="D17" i="324"/>
  <c r="B7" i="302"/>
  <c r="K15" i="2"/>
  <c r="D63" i="324"/>
  <c r="K13" i="2"/>
  <c r="K16"/>
  <c r="D61" i="302"/>
  <c r="B9"/>
  <c r="D16"/>
  <c r="D55" i="324"/>
  <c r="D29"/>
  <c r="B7"/>
  <c r="D67"/>
  <c r="D24" i="302"/>
  <c r="D25" i="324"/>
  <c r="D73" i="302"/>
  <c r="K38" i="2"/>
  <c r="D28" i="302"/>
  <c r="K29" i="2"/>
  <c r="D37" i="324"/>
  <c r="V37"/>
  <c r="V38"/>
  <c r="V21"/>
  <c r="V22"/>
  <c r="F85" l="1"/>
  <c r="V84"/>
  <c r="F81"/>
  <c r="V80"/>
  <c r="F77"/>
  <c r="V76"/>
  <c r="F73"/>
  <c r="V72"/>
  <c r="F69"/>
  <c r="V68"/>
  <c r="F65"/>
  <c r="V64"/>
  <c r="F61"/>
  <c r="V60"/>
  <c r="F57"/>
  <c r="V56"/>
  <c r="P53"/>
  <c r="F47"/>
  <c r="F43"/>
  <c r="F39"/>
  <c r="F35"/>
  <c r="F31"/>
  <c r="F27"/>
  <c r="F23"/>
  <c r="F19"/>
  <c r="X15"/>
  <c r="Z2"/>
  <c r="U24"/>
  <c r="P24"/>
  <c r="M32"/>
  <c r="P44"/>
  <c r="Q24"/>
  <c r="M62"/>
  <c r="U44"/>
  <c r="T40"/>
  <c r="L20"/>
  <c r="P28"/>
  <c r="O44"/>
  <c r="P40"/>
  <c r="J44"/>
  <c r="M44"/>
  <c r="U28"/>
  <c r="L24"/>
  <c r="K28"/>
  <c r="M20"/>
  <c r="K78"/>
  <c r="Q48"/>
  <c r="L58"/>
  <c r="J24"/>
  <c r="J40"/>
  <c r="P48"/>
  <c r="L48"/>
  <c r="J74"/>
  <c r="T24"/>
  <c r="S44"/>
  <c r="S28"/>
  <c r="L70"/>
  <c r="U40"/>
  <c r="P32"/>
  <c r="L82"/>
  <c r="T48"/>
  <c r="S20"/>
  <c r="N36"/>
  <c r="M78"/>
  <c r="O40"/>
  <c r="R48"/>
  <c r="K66"/>
  <c r="K20"/>
  <c r="K58"/>
  <c r="S36"/>
  <c r="M82"/>
  <c r="Q40"/>
  <c r="R28"/>
  <c r="M70"/>
  <c r="O48"/>
  <c r="R36"/>
  <c r="O32"/>
  <c r="S48"/>
  <c r="J62"/>
  <c r="K32"/>
  <c r="Q44"/>
  <c r="J32"/>
  <c r="P36"/>
  <c r="K44"/>
  <c r="O20"/>
  <c r="R32"/>
  <c r="L86"/>
  <c r="K36"/>
  <c r="N40"/>
  <c r="S24"/>
  <c r="M66"/>
  <c r="S40"/>
  <c r="J82"/>
  <c r="L32"/>
  <c r="K62"/>
  <c r="R20"/>
  <c r="K82"/>
  <c r="L44"/>
  <c r="U36"/>
  <c r="R44"/>
  <c r="J86"/>
  <c r="L28"/>
  <c r="N20"/>
  <c r="J78"/>
  <c r="J28"/>
  <c r="M48"/>
  <c r="U48"/>
  <c r="J66"/>
  <c r="L78"/>
  <c r="J70"/>
  <c r="M58"/>
  <c r="M24"/>
  <c r="M74"/>
  <c r="N32"/>
  <c r="L74"/>
  <c r="Q32"/>
  <c r="J36"/>
  <c r="T28"/>
  <c r="S32"/>
  <c r="Q20"/>
  <c r="R40"/>
  <c r="T36"/>
  <c r="O24"/>
  <c r="K48"/>
  <c r="K70"/>
  <c r="Q36"/>
  <c r="O28"/>
  <c r="T32"/>
  <c r="K86"/>
  <c r="R24"/>
  <c r="N28"/>
  <c r="U20"/>
  <c r="K40"/>
  <c r="M40"/>
  <c r="M28"/>
  <c r="L36"/>
  <c r="L66"/>
  <c r="P20"/>
  <c r="U32"/>
  <c r="L62"/>
  <c r="K74"/>
  <c r="T44"/>
  <c r="N48"/>
  <c r="M36"/>
  <c r="N24"/>
  <c r="Q28"/>
  <c r="N44"/>
  <c r="M86"/>
  <c r="K24"/>
  <c r="L40"/>
  <c r="J58"/>
  <c r="O36"/>
  <c r="T20"/>
  <c r="J48"/>
  <c r="J76" l="1"/>
  <c r="J77"/>
  <c r="J75"/>
  <c r="L60"/>
  <c r="L61"/>
  <c r="L59"/>
  <c r="M80"/>
  <c r="M81"/>
  <c r="M79"/>
  <c r="M64"/>
  <c r="M63"/>
  <c r="M65"/>
  <c r="L56"/>
  <c r="L55"/>
  <c r="L57"/>
  <c r="M76"/>
  <c r="M77"/>
  <c r="M75"/>
  <c r="M68"/>
  <c r="M69"/>
  <c r="M67"/>
  <c r="M56"/>
  <c r="M55"/>
  <c r="M57"/>
  <c r="L69"/>
  <c r="L67"/>
  <c r="L68"/>
  <c r="K83"/>
  <c r="K84"/>
  <c r="K85"/>
  <c r="L84"/>
  <c r="L85"/>
  <c r="L83"/>
  <c r="J84"/>
  <c r="J83"/>
  <c r="J85"/>
  <c r="K80"/>
  <c r="K81"/>
  <c r="K79"/>
  <c r="L80"/>
  <c r="L81"/>
  <c r="L79"/>
  <c r="M71"/>
  <c r="M72"/>
  <c r="M73"/>
  <c r="J80"/>
  <c r="J81"/>
  <c r="J79"/>
  <c r="K76"/>
  <c r="K77"/>
  <c r="K75"/>
  <c r="L76"/>
  <c r="L77"/>
  <c r="L75"/>
  <c r="M60"/>
  <c r="M61"/>
  <c r="M59"/>
  <c r="M84"/>
  <c r="M85"/>
  <c r="M83"/>
  <c r="O19"/>
  <c r="S27"/>
  <c r="P31"/>
  <c r="P23"/>
  <c r="T35"/>
  <c r="P39"/>
  <c r="L43"/>
  <c r="T43"/>
  <c r="N47"/>
  <c r="S31"/>
  <c r="S35"/>
  <c r="K39"/>
  <c r="S39"/>
  <c r="O43"/>
  <c r="L47"/>
  <c r="M47"/>
  <c r="O23"/>
  <c r="S23"/>
  <c r="Q27"/>
  <c r="U27"/>
  <c r="T31"/>
  <c r="T19"/>
  <c r="P27"/>
  <c r="P35"/>
  <c r="J39"/>
  <c r="N39"/>
  <c r="R39"/>
  <c r="J43"/>
  <c r="N43"/>
  <c r="R43"/>
  <c r="J47"/>
  <c r="R47"/>
  <c r="Q31"/>
  <c r="U31"/>
  <c r="U35"/>
  <c r="M39"/>
  <c r="Q39"/>
  <c r="U39"/>
  <c r="M43"/>
  <c r="Q43"/>
  <c r="U43"/>
  <c r="P47"/>
  <c r="K47"/>
  <c r="O47"/>
  <c r="S47"/>
  <c r="U19"/>
  <c r="O27"/>
  <c r="T27"/>
  <c r="L39"/>
  <c r="T39"/>
  <c r="P43"/>
  <c r="O31"/>
  <c r="O35"/>
  <c r="O39"/>
  <c r="K43"/>
  <c r="S43"/>
  <c r="T47"/>
  <c r="Q47"/>
  <c r="U47"/>
  <c r="O18"/>
  <c r="O17"/>
  <c r="S25"/>
  <c r="S26"/>
  <c r="P29"/>
  <c r="P30"/>
  <c r="P21"/>
  <c r="P22"/>
  <c r="T33"/>
  <c r="T34"/>
  <c r="P37"/>
  <c r="P38"/>
  <c r="L42"/>
  <c r="L41"/>
  <c r="T42"/>
  <c r="T41"/>
  <c r="N46"/>
  <c r="N45"/>
  <c r="S29"/>
  <c r="S30"/>
  <c r="S33"/>
  <c r="S34"/>
  <c r="K37"/>
  <c r="K38"/>
  <c r="S37"/>
  <c r="S38"/>
  <c r="O41"/>
  <c r="O42"/>
  <c r="L46"/>
  <c r="L45"/>
  <c r="M45"/>
  <c r="M46"/>
  <c r="O21"/>
  <c r="O22"/>
  <c r="S21"/>
  <c r="S22"/>
  <c r="Q25"/>
  <c r="Q26"/>
  <c r="U25"/>
  <c r="U26"/>
  <c r="T29"/>
  <c r="T30"/>
  <c r="T18"/>
  <c r="T17"/>
  <c r="P25"/>
  <c r="P26"/>
  <c r="P33"/>
  <c r="P34"/>
  <c r="J37"/>
  <c r="J38"/>
  <c r="N37"/>
  <c r="N38"/>
  <c r="R37"/>
  <c r="R38"/>
  <c r="J41"/>
  <c r="J42"/>
  <c r="N42"/>
  <c r="N41"/>
  <c r="R42"/>
  <c r="R41"/>
  <c r="J45"/>
  <c r="J46"/>
  <c r="R46"/>
  <c r="R45"/>
  <c r="Q29"/>
  <c r="Q30"/>
  <c r="U29"/>
  <c r="U30"/>
  <c r="U33"/>
  <c r="U34"/>
  <c r="M37"/>
  <c r="M38"/>
  <c r="Q37"/>
  <c r="Q38"/>
  <c r="U37"/>
  <c r="U38"/>
  <c r="M41"/>
  <c r="M42"/>
  <c r="Q41"/>
  <c r="Q42"/>
  <c r="U41"/>
  <c r="U42"/>
  <c r="P46"/>
  <c r="P45"/>
  <c r="K45"/>
  <c r="K46"/>
  <c r="O45"/>
  <c r="O46"/>
  <c r="S45"/>
  <c r="S46"/>
  <c r="U17"/>
  <c r="U18"/>
  <c r="O25"/>
  <c r="O26"/>
  <c r="T25"/>
  <c r="T26"/>
  <c r="L37"/>
  <c r="L38"/>
  <c r="T37"/>
  <c r="T38"/>
  <c r="P42"/>
  <c r="P41"/>
  <c r="O29"/>
  <c r="O30"/>
  <c r="O33"/>
  <c r="O34"/>
  <c r="O37"/>
  <c r="O38"/>
  <c r="K41"/>
  <c r="K42"/>
  <c r="S41"/>
  <c r="S42"/>
  <c r="T46"/>
  <c r="T45"/>
  <c r="Q45"/>
  <c r="Q46"/>
  <c r="U45"/>
  <c r="U46"/>
  <c r="Z2" i="302"/>
  <c r="V77" i="324" l="1"/>
  <c r="V81"/>
  <c r="V85"/>
  <c r="M87"/>
  <c r="AR14" i="317" s="1"/>
  <c r="N79" i="324"/>
  <c r="P79" s="1"/>
  <c r="N83"/>
  <c r="P83" s="1"/>
  <c r="V83" s="1"/>
  <c r="N75"/>
  <c r="P75" s="1"/>
  <c r="W41"/>
  <c r="X41" s="1"/>
  <c r="W45"/>
  <c r="X45" s="1"/>
  <c r="W37"/>
  <c r="X37" s="1"/>
  <c r="V47"/>
  <c r="V43"/>
  <c r="V39"/>
  <c r="O49"/>
  <c r="AT11" i="317" s="1"/>
  <c r="V79" i="324" l="1"/>
  <c r="V75"/>
  <c r="H9" i="2"/>
  <c r="D1" i="324" s="1"/>
  <c r="AM4" i="317" l="1"/>
  <c r="L20" i="2"/>
  <c r="L19"/>
  <c r="L18"/>
  <c r="L17"/>
  <c r="L16"/>
  <c r="L15"/>
  <c r="L14"/>
  <c r="L13"/>
  <c r="G6"/>
  <c r="G5"/>
  <c r="P8"/>
  <c r="L8"/>
  <c r="L7"/>
  <c r="L6"/>
  <c r="U1" i="324" s="1"/>
  <c r="L5" i="2"/>
  <c r="P1" i="324" s="1"/>
  <c r="Y2" i="5" l="1"/>
  <c r="X3" s="1"/>
  <c r="Z2" l="1"/>
  <c r="Y3"/>
  <c r="X4" s="1"/>
  <c r="Y4" l="1"/>
  <c r="X5" s="1"/>
  <c r="Z3"/>
  <c r="E23" i="2"/>
  <c r="E26" i="250" s="1"/>
  <c r="P52" i="302"/>
  <c r="V54"/>
  <c r="D21" i="303" l="1"/>
  <c r="L25" i="6"/>
  <c r="D25"/>
  <c r="D25" i="4"/>
  <c r="O25"/>
  <c r="L25" i="3"/>
  <c r="D25"/>
  <c r="Z4" i="5"/>
  <c r="Y5"/>
  <c r="X6" s="1"/>
  <c r="I53" i="302"/>
  <c r="I57"/>
  <c r="F83"/>
  <c r="V82"/>
  <c r="I81"/>
  <c r="F79"/>
  <c r="V78"/>
  <c r="I77"/>
  <c r="F75"/>
  <c r="V74"/>
  <c r="I73"/>
  <c r="F71"/>
  <c r="V70"/>
  <c r="I69"/>
  <c r="F67"/>
  <c r="V66"/>
  <c r="I65"/>
  <c r="F63"/>
  <c r="V62"/>
  <c r="I61"/>
  <c r="F59"/>
  <c r="V58"/>
  <c r="F55"/>
  <c r="V17"/>
  <c r="M71"/>
  <c r="L78"/>
  <c r="M79"/>
  <c r="M69"/>
  <c r="M61"/>
  <c r="M53"/>
  <c r="L59"/>
  <c r="L81"/>
  <c r="M73"/>
  <c r="M64"/>
  <c r="J74"/>
  <c r="L68"/>
  <c r="K56"/>
  <c r="M63"/>
  <c r="M81"/>
  <c r="M78"/>
  <c r="M55"/>
  <c r="L80"/>
  <c r="K82"/>
  <c r="L79"/>
  <c r="L82"/>
  <c r="L60"/>
  <c r="M60"/>
  <c r="J60"/>
  <c r="M70"/>
  <c r="K81"/>
  <c r="K80"/>
  <c r="L53"/>
  <c r="K64"/>
  <c r="J75"/>
  <c r="L57"/>
  <c r="L77"/>
  <c r="K68"/>
  <c r="L75"/>
  <c r="J72"/>
  <c r="K72"/>
  <c r="M83"/>
  <c r="M72"/>
  <c r="K74"/>
  <c r="J76"/>
  <c r="J82"/>
  <c r="M54"/>
  <c r="K79"/>
  <c r="L76"/>
  <c r="K84"/>
  <c r="M80"/>
  <c r="L58"/>
  <c r="J73"/>
  <c r="K60"/>
  <c r="M56"/>
  <c r="J83"/>
  <c r="M66"/>
  <c r="L83"/>
  <c r="J77"/>
  <c r="L72"/>
  <c r="M77"/>
  <c r="J80"/>
  <c r="K73"/>
  <c r="J81"/>
  <c r="J56"/>
  <c r="J84"/>
  <c r="M84"/>
  <c r="L56"/>
  <c r="M67"/>
  <c r="M65"/>
  <c r="K78"/>
  <c r="M68"/>
  <c r="K77"/>
  <c r="J79"/>
  <c r="K76"/>
  <c r="L73"/>
  <c r="L55"/>
  <c r="M82"/>
  <c r="M76"/>
  <c r="L64"/>
  <c r="L54"/>
  <c r="J68"/>
  <c r="K83"/>
  <c r="M62"/>
  <c r="L74"/>
  <c r="L84"/>
  <c r="J64"/>
  <c r="M75"/>
  <c r="K75"/>
  <c r="M74"/>
  <c r="J78"/>
  <c r="Z5" i="5" l="1"/>
  <c r="N73" i="302"/>
  <c r="P73" s="1"/>
  <c r="V73" s="1"/>
  <c r="N81"/>
  <c r="P81" s="1"/>
  <c r="V81" s="1"/>
  <c r="N77"/>
  <c r="Y6" i="5"/>
  <c r="X7" s="1"/>
  <c r="V79" i="302"/>
  <c r="V75"/>
  <c r="V83"/>
  <c r="P77" l="1"/>
  <c r="V77" s="1"/>
  <c r="Y7" i="5"/>
  <c r="X8" s="1"/>
  <c r="Z6"/>
  <c r="I82" i="302"/>
  <c r="I54"/>
  <c r="I58"/>
  <c r="I66"/>
  <c r="I74"/>
  <c r="I62"/>
  <c r="I70"/>
  <c r="I78"/>
  <c r="U1"/>
  <c r="P1"/>
  <c r="D1"/>
  <c r="Z7" i="5" l="1"/>
  <c r="Y8"/>
  <c r="X9" s="1"/>
  <c r="I7" i="317"/>
  <c r="I6"/>
  <c r="Y9" i="5" l="1"/>
  <c r="X10" s="1"/>
  <c r="Z8"/>
  <c r="H10" i="317"/>
  <c r="AM5"/>
  <c r="AM6"/>
  <c r="AM7"/>
  <c r="AM8"/>
  <c r="AM9"/>
  <c r="AM10"/>
  <c r="AM3"/>
  <c r="M8"/>
  <c r="M7"/>
  <c r="M6"/>
  <c r="Z9" i="5" l="1"/>
  <c r="Y10"/>
  <c r="X11" s="1"/>
  <c r="X15" i="302"/>
  <c r="R47"/>
  <c r="R31"/>
  <c r="S31"/>
  <c r="K31"/>
  <c r="O39"/>
  <c r="Q29"/>
  <c r="N39"/>
  <c r="P28"/>
  <c r="N43"/>
  <c r="T29"/>
  <c r="J31"/>
  <c r="L35"/>
  <c r="U43"/>
  <c r="Q35"/>
  <c r="L31"/>
  <c r="J35"/>
  <c r="K43"/>
  <c r="M47"/>
  <c r="K39"/>
  <c r="J27"/>
  <c r="U31"/>
  <c r="J43"/>
  <c r="O27"/>
  <c r="N35"/>
  <c r="L43"/>
  <c r="Q47"/>
  <c r="J39"/>
  <c r="O31"/>
  <c r="P27"/>
  <c r="P39"/>
  <c r="K35"/>
  <c r="M43"/>
  <c r="R43"/>
  <c r="K27"/>
  <c r="O47"/>
  <c r="T39"/>
  <c r="U27"/>
  <c r="M35"/>
  <c r="P29"/>
  <c r="N47"/>
  <c r="J47"/>
  <c r="R35"/>
  <c r="P43"/>
  <c r="T47"/>
  <c r="O29"/>
  <c r="P47"/>
  <c r="Q31"/>
  <c r="L39"/>
  <c r="S39"/>
  <c r="R39"/>
  <c r="S27"/>
  <c r="T27"/>
  <c r="Q28"/>
  <c r="K47"/>
  <c r="Q27"/>
  <c r="N31"/>
  <c r="S47"/>
  <c r="T35"/>
  <c r="O43"/>
  <c r="Q39"/>
  <c r="P31"/>
  <c r="O35"/>
  <c r="T43"/>
  <c r="S29"/>
  <c r="U39"/>
  <c r="T31"/>
  <c r="P35"/>
  <c r="U47"/>
  <c r="T28"/>
  <c r="R27"/>
  <c r="M31"/>
  <c r="S28"/>
  <c r="L27"/>
  <c r="L47"/>
  <c r="N27"/>
  <c r="S43"/>
  <c r="Q43"/>
  <c r="M27"/>
  <c r="S35"/>
  <c r="M39"/>
  <c r="U35"/>
  <c r="O28"/>
  <c r="Y11" i="5" l="1"/>
  <c r="X12" s="1"/>
  <c r="Z10"/>
  <c r="F30" i="302"/>
  <c r="O30"/>
  <c r="Q30"/>
  <c r="T30"/>
  <c r="S30"/>
  <c r="P30"/>
  <c r="Z11" i="5" l="1"/>
  <c r="Y12"/>
  <c r="X13" s="1"/>
  <c r="F46" i="302"/>
  <c r="F42"/>
  <c r="F38"/>
  <c r="F34"/>
  <c r="F26"/>
  <c r="F22"/>
  <c r="I28"/>
  <c r="F18"/>
  <c r="L28"/>
  <c r="K38"/>
  <c r="T34"/>
  <c r="L65"/>
  <c r="T19"/>
  <c r="J23"/>
  <c r="T23"/>
  <c r="O42"/>
  <c r="S38"/>
  <c r="U38"/>
  <c r="P26"/>
  <c r="M42"/>
  <c r="Q26"/>
  <c r="U42"/>
  <c r="P46"/>
  <c r="J46"/>
  <c r="M19"/>
  <c r="Q46"/>
  <c r="T46"/>
  <c r="Q23"/>
  <c r="N28"/>
  <c r="U19"/>
  <c r="O19"/>
  <c r="N23"/>
  <c r="N46"/>
  <c r="O38"/>
  <c r="N38"/>
  <c r="N42"/>
  <c r="N19"/>
  <c r="P38"/>
  <c r="M23"/>
  <c r="Q19"/>
  <c r="J42"/>
  <c r="U34"/>
  <c r="Q38"/>
  <c r="R38"/>
  <c r="P42"/>
  <c r="J38"/>
  <c r="U30"/>
  <c r="J65"/>
  <c r="Q42"/>
  <c r="K19"/>
  <c r="O23"/>
  <c r="T26"/>
  <c r="S34"/>
  <c r="U18"/>
  <c r="L23"/>
  <c r="P23"/>
  <c r="S19"/>
  <c r="K23"/>
  <c r="O46"/>
  <c r="U46"/>
  <c r="L38"/>
  <c r="R19"/>
  <c r="K42"/>
  <c r="L46"/>
  <c r="K65"/>
  <c r="T38"/>
  <c r="P19"/>
  <c r="R28"/>
  <c r="S23"/>
  <c r="J28"/>
  <c r="L42"/>
  <c r="O34"/>
  <c r="M46"/>
  <c r="S42"/>
  <c r="S26"/>
  <c r="T18"/>
  <c r="K28"/>
  <c r="L19"/>
  <c r="J19"/>
  <c r="P34"/>
  <c r="R42"/>
  <c r="R46"/>
  <c r="R23"/>
  <c r="U23"/>
  <c r="T42"/>
  <c r="S46"/>
  <c r="K46"/>
  <c r="M28"/>
  <c r="M38"/>
  <c r="W40" l="1"/>
  <c r="X40" s="1"/>
  <c r="W36"/>
  <c r="X36" s="1"/>
  <c r="W44"/>
  <c r="X44" s="1"/>
  <c r="Z12" i="5"/>
  <c r="Y13"/>
  <c r="X14" s="1"/>
  <c r="V46" i="302"/>
  <c r="Z13" i="5" l="1"/>
  <c r="Y14"/>
  <c r="X15" s="1"/>
  <c r="I29" i="302"/>
  <c r="I16"/>
  <c r="M57"/>
  <c r="K53"/>
  <c r="J57"/>
  <c r="J66"/>
  <c r="N29"/>
  <c r="K16"/>
  <c r="K29"/>
  <c r="R29"/>
  <c r="K66"/>
  <c r="J29"/>
  <c r="J53"/>
  <c r="M29"/>
  <c r="K57"/>
  <c r="L66"/>
  <c r="L29"/>
  <c r="Z14" i="5" l="1"/>
  <c r="Y15"/>
  <c r="X16" s="1"/>
  <c r="V45" i="302"/>
  <c r="V41"/>
  <c r="V37"/>
  <c r="V33"/>
  <c r="V29"/>
  <c r="V25"/>
  <c r="V21"/>
  <c r="L67"/>
  <c r="J67"/>
  <c r="J30"/>
  <c r="M30"/>
  <c r="K30"/>
  <c r="L30"/>
  <c r="N30"/>
  <c r="K67"/>
  <c r="R30"/>
  <c r="W28" l="1"/>
  <c r="X28" s="1"/>
  <c r="N65"/>
  <c r="P65" s="1"/>
  <c r="V65" s="1"/>
  <c r="Z15" i="5"/>
  <c r="Y16"/>
  <c r="Z16" s="1"/>
  <c r="V67" i="302"/>
  <c r="I44"/>
  <c r="I40"/>
  <c r="I36"/>
  <c r="I32"/>
  <c r="I24"/>
  <c r="I20"/>
  <c r="K61"/>
  <c r="J61"/>
  <c r="L61"/>
  <c r="L69"/>
  <c r="J69"/>
  <c r="K69"/>
  <c r="I33" l="1"/>
  <c r="K70"/>
  <c r="J70"/>
  <c r="L70"/>
  <c r="I45" l="1"/>
  <c r="I25"/>
  <c r="I41"/>
  <c r="I37"/>
  <c r="I17"/>
  <c r="I21"/>
  <c r="K54"/>
  <c r="L71"/>
  <c r="J58"/>
  <c r="L62"/>
  <c r="K63"/>
  <c r="M58"/>
  <c r="K62"/>
  <c r="J54"/>
  <c r="M59"/>
  <c r="K58"/>
  <c r="J71"/>
  <c r="K59"/>
  <c r="K71"/>
  <c r="J62"/>
  <c r="N69" l="1"/>
  <c r="P69" s="1"/>
  <c r="V69" s="1"/>
  <c r="V71"/>
  <c r="M85"/>
  <c r="AC1" i="5"/>
  <c r="E13" i="2"/>
  <c r="E16" i="250" s="1"/>
  <c r="J63" i="302"/>
  <c r="L63"/>
  <c r="J55"/>
  <c r="J59"/>
  <c r="K55"/>
  <c r="D11" i="303" l="1"/>
  <c r="L15" i="6"/>
  <c r="D15"/>
  <c r="O15" i="4"/>
  <c r="D15"/>
  <c r="L15" i="3"/>
  <c r="D15"/>
  <c r="AR7" i="317"/>
  <c r="M54" i="324"/>
  <c r="N61" i="302"/>
  <c r="P61" s="1"/>
  <c r="V61" s="1"/>
  <c r="N53"/>
  <c r="J85"/>
  <c r="L85"/>
  <c r="N57"/>
  <c r="V59"/>
  <c r="K85"/>
  <c r="V63"/>
  <c r="V55"/>
  <c r="E112" i="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E76" i="250" s="1"/>
  <c r="D73" i="2"/>
  <c r="C76" i="250" s="1"/>
  <c r="E72" i="2"/>
  <c r="E75" i="250" s="1"/>
  <c r="D72" i="2"/>
  <c r="C75" i="250" s="1"/>
  <c r="E71" i="2"/>
  <c r="E74" i="250" s="1"/>
  <c r="D71" i="2"/>
  <c r="C74" i="250" s="1"/>
  <c r="E70" i="2"/>
  <c r="E73" i="250" s="1"/>
  <c r="D70" i="2"/>
  <c r="C73" i="250" s="1"/>
  <c r="E69" i="2"/>
  <c r="E72" i="250" s="1"/>
  <c r="D69" i="2"/>
  <c r="C72" i="250" s="1"/>
  <c r="E68" i="2"/>
  <c r="E71" i="250" s="1"/>
  <c r="D68" i="2"/>
  <c r="C71" i="250" s="1"/>
  <c r="E67" i="2"/>
  <c r="E70" i="250" s="1"/>
  <c r="D67" i="2"/>
  <c r="C70" i="250" s="1"/>
  <c r="E66" i="2"/>
  <c r="E69" i="250" s="1"/>
  <c r="D66" i="2"/>
  <c r="C69" i="250" s="1"/>
  <c r="E65" i="2"/>
  <c r="E68" i="250" s="1"/>
  <c r="D65" i="2"/>
  <c r="C68" i="250" s="1"/>
  <c r="E64" i="2"/>
  <c r="E67" i="250" s="1"/>
  <c r="D64" i="2"/>
  <c r="C67" i="250" s="1"/>
  <c r="E63" i="2"/>
  <c r="E66" i="250" s="1"/>
  <c r="D63" i="2"/>
  <c r="C66" i="250" s="1"/>
  <c r="E62" i="2"/>
  <c r="E65" i="250" s="1"/>
  <c r="D62" i="2"/>
  <c r="C65" i="250" s="1"/>
  <c r="E61" i="2"/>
  <c r="E64" i="250" s="1"/>
  <c r="D61" i="2"/>
  <c r="C64" i="250" s="1"/>
  <c r="E60" i="2"/>
  <c r="E63" i="250" s="1"/>
  <c r="D60" i="2"/>
  <c r="C63" i="250" s="1"/>
  <c r="E59" i="2"/>
  <c r="E62" i="250" s="1"/>
  <c r="D59" i="2"/>
  <c r="C62" i="250" s="1"/>
  <c r="E58" i="2"/>
  <c r="E61" i="250" s="1"/>
  <c r="D58" i="2"/>
  <c r="C61" i="250" s="1"/>
  <c r="E57" i="2"/>
  <c r="E60" i="250" s="1"/>
  <c r="D57" i="2"/>
  <c r="C60" i="250" s="1"/>
  <c r="E56" i="2"/>
  <c r="E59" i="250" s="1"/>
  <c r="D56" i="2"/>
  <c r="C59" i="250" s="1"/>
  <c r="E55" i="2"/>
  <c r="E58" i="250" s="1"/>
  <c r="D55" i="2"/>
  <c r="C58" i="250" s="1"/>
  <c r="E54" i="2"/>
  <c r="E57" i="250" s="1"/>
  <c r="D54" i="2"/>
  <c r="C57" i="250" s="1"/>
  <c r="E53" i="2"/>
  <c r="E56" i="250" s="1"/>
  <c r="D53" i="2"/>
  <c r="C56" i="250" s="1"/>
  <c r="E52" i="2"/>
  <c r="E55" i="250" s="1"/>
  <c r="D52" i="2"/>
  <c r="C55" i="250" s="1"/>
  <c r="E51" i="2"/>
  <c r="E54" i="250" s="1"/>
  <c r="D51" i="2"/>
  <c r="C54" i="250" s="1"/>
  <c r="E50" i="2"/>
  <c r="E53" i="250" s="1"/>
  <c r="D50" i="2"/>
  <c r="C53" i="250" s="1"/>
  <c r="E49" i="2"/>
  <c r="E52" i="250" s="1"/>
  <c r="D49" i="2"/>
  <c r="C52" i="250" s="1"/>
  <c r="E48" i="2"/>
  <c r="E51" i="250" s="1"/>
  <c r="D48" i="2"/>
  <c r="C51" i="250" s="1"/>
  <c r="E47" i="2"/>
  <c r="E50" i="250" s="1"/>
  <c r="D47" i="2"/>
  <c r="C50" i="250" s="1"/>
  <c r="E46" i="2"/>
  <c r="E49" i="250" s="1"/>
  <c r="D46" i="2"/>
  <c r="C49" i="250" s="1"/>
  <c r="E45" i="2"/>
  <c r="E48" i="250" s="1"/>
  <c r="D45" i="2"/>
  <c r="C48" i="250" s="1"/>
  <c r="E44" i="2"/>
  <c r="E47" i="250" s="1"/>
  <c r="D44" i="2"/>
  <c r="C47" i="250" s="1"/>
  <c r="E43" i="2"/>
  <c r="E46" i="250" s="1"/>
  <c r="D43" i="2"/>
  <c r="C46" i="250" s="1"/>
  <c r="E42" i="2"/>
  <c r="E45" i="250" s="1"/>
  <c r="D42" i="2"/>
  <c r="C45" i="250" s="1"/>
  <c r="E41" i="2"/>
  <c r="E44" i="250" s="1"/>
  <c r="D41" i="2"/>
  <c r="C44" i="250" s="1"/>
  <c r="E40" i="2"/>
  <c r="E43" i="250" s="1"/>
  <c r="D40" i="2"/>
  <c r="C43" i="250" s="1"/>
  <c r="E39" i="2"/>
  <c r="E42" i="250" s="1"/>
  <c r="D39" i="2"/>
  <c r="C42" i="250" s="1"/>
  <c r="E38" i="2"/>
  <c r="E41" i="250" s="1"/>
  <c r="D38" i="2"/>
  <c r="C41" i="250" s="1"/>
  <c r="E37" i="2"/>
  <c r="E40" i="250" s="1"/>
  <c r="D37" i="2"/>
  <c r="C40" i="250" s="1"/>
  <c r="E36" i="2"/>
  <c r="E39" i="250" s="1"/>
  <c r="D36" i="2"/>
  <c r="C39" i="250" s="1"/>
  <c r="E35" i="2"/>
  <c r="E38" i="250" s="1"/>
  <c r="D35" i="2"/>
  <c r="C38" i="250" s="1"/>
  <c r="E34" i="2"/>
  <c r="E37" i="250" s="1"/>
  <c r="D34" i="2"/>
  <c r="C37" i="250" s="1"/>
  <c r="E33" i="2"/>
  <c r="E36" i="250" s="1"/>
  <c r="D33" i="2"/>
  <c r="C36" i="250" s="1"/>
  <c r="E32" i="2"/>
  <c r="E35" i="250" s="1"/>
  <c r="D32" i="2"/>
  <c r="C35" i="250" s="1"/>
  <c r="E31" i="2"/>
  <c r="E34" i="250" s="1"/>
  <c r="D31" i="2"/>
  <c r="C34" i="250" s="1"/>
  <c r="E30" i="2"/>
  <c r="E33" i="250" s="1"/>
  <c r="D30" i="2"/>
  <c r="C33" i="250" s="1"/>
  <c r="E29" i="2"/>
  <c r="E32" i="250" s="1"/>
  <c r="D29" i="2"/>
  <c r="C32" i="250" s="1"/>
  <c r="E28" i="2"/>
  <c r="E31" i="250" s="1"/>
  <c r="D28" i="2"/>
  <c r="C31" i="250" s="1"/>
  <c r="E27" i="2"/>
  <c r="E30" i="250" s="1"/>
  <c r="D27" i="2"/>
  <c r="C30" i="250" s="1"/>
  <c r="E26" i="2"/>
  <c r="E29" i="250" s="1"/>
  <c r="D26" i="2"/>
  <c r="C29" i="250" s="1"/>
  <c r="E25" i="2"/>
  <c r="E28" i="250" s="1"/>
  <c r="D25" i="2"/>
  <c r="C28" i="250" s="1"/>
  <c r="E24" i="2"/>
  <c r="E27" i="250" s="1"/>
  <c r="D24" i="2"/>
  <c r="C27" i="250" s="1"/>
  <c r="D23" i="2"/>
  <c r="C26" i="250" s="1"/>
  <c r="E22" i="2"/>
  <c r="E25" i="250" s="1"/>
  <c r="D22" i="2"/>
  <c r="C25" i="250" s="1"/>
  <c r="E21" i="2"/>
  <c r="E24" i="250" s="1"/>
  <c r="D21" i="2"/>
  <c r="C24" i="250" s="1"/>
  <c r="E20" i="2"/>
  <c r="E23" i="250" s="1"/>
  <c r="D20" i="2"/>
  <c r="C23" i="250" s="1"/>
  <c r="E19" i="2"/>
  <c r="E22" i="250" s="1"/>
  <c r="D19" i="2"/>
  <c r="C22" i="250" s="1"/>
  <c r="E18" i="2"/>
  <c r="E21" i="250" s="1"/>
  <c r="D18" i="2"/>
  <c r="C21" i="250" s="1"/>
  <c r="E17" i="2"/>
  <c r="E20" i="250" s="1"/>
  <c r="D17" i="2"/>
  <c r="C20" i="250" s="1"/>
  <c r="E16" i="2"/>
  <c r="E19" i="250" s="1"/>
  <c r="D16" i="2"/>
  <c r="C19" i="250" s="1"/>
  <c r="E15" i="2"/>
  <c r="E18" i="250" s="1"/>
  <c r="D15" i="2"/>
  <c r="C18" i="250" s="1"/>
  <c r="E14" i="2"/>
  <c r="E17" i="250" s="1"/>
  <c r="D14" i="2"/>
  <c r="C17" i="250" s="1"/>
  <c r="D13" i="2"/>
  <c r="C16" i="250" s="1"/>
  <c r="C11" i="303" l="1"/>
  <c r="K15" i="6"/>
  <c r="C15"/>
  <c r="N15" i="4"/>
  <c r="C15"/>
  <c r="K15" i="3"/>
  <c r="C15"/>
  <c r="D13" i="303"/>
  <c r="L17" i="6"/>
  <c r="D17"/>
  <c r="D17" i="4"/>
  <c r="O17"/>
  <c r="D17" i="3"/>
  <c r="L17"/>
  <c r="D14" i="303"/>
  <c r="L18" i="6"/>
  <c r="D18"/>
  <c r="D18" i="4"/>
  <c r="O18"/>
  <c r="L18" i="3"/>
  <c r="D18"/>
  <c r="D16" i="303"/>
  <c r="L20" i="6"/>
  <c r="D20"/>
  <c r="O20" i="4"/>
  <c r="D20"/>
  <c r="L20" i="3"/>
  <c r="D20"/>
  <c r="D18" i="303"/>
  <c r="L22" i="6"/>
  <c r="D22"/>
  <c r="O22" i="4"/>
  <c r="D22"/>
  <c r="L22" i="3"/>
  <c r="D22"/>
  <c r="D20" i="303"/>
  <c r="L24" i="6"/>
  <c r="D24"/>
  <c r="D24" i="4"/>
  <c r="O24"/>
  <c r="L24" i="3"/>
  <c r="D24"/>
  <c r="C23" i="303"/>
  <c r="K27" i="6"/>
  <c r="C27"/>
  <c r="N27" i="4"/>
  <c r="C27"/>
  <c r="K27" i="3"/>
  <c r="C27"/>
  <c r="C25" i="303"/>
  <c r="C29" i="6"/>
  <c r="N29" i="4"/>
  <c r="K29" i="6"/>
  <c r="C29" i="4"/>
  <c r="K29" i="3"/>
  <c r="C29"/>
  <c r="C27" i="303"/>
  <c r="K31" i="6"/>
  <c r="C31"/>
  <c r="N31" i="4"/>
  <c r="C31"/>
  <c r="K31" i="3"/>
  <c r="C31"/>
  <c r="C29" i="303"/>
  <c r="K33" i="6"/>
  <c r="N33" i="4"/>
  <c r="C33" i="6"/>
  <c r="C33" i="4"/>
  <c r="K33" i="3"/>
  <c r="C33"/>
  <c r="C31" i="303"/>
  <c r="K35" i="6"/>
  <c r="C35"/>
  <c r="N35" i="4"/>
  <c r="C35"/>
  <c r="K35" i="3"/>
  <c r="C35"/>
  <c r="C33" i="303"/>
  <c r="C37" i="6"/>
  <c r="N37" i="4"/>
  <c r="K37" i="6"/>
  <c r="C37" i="4"/>
  <c r="K37" i="3"/>
  <c r="C37"/>
  <c r="C35" i="303"/>
  <c r="K39" i="6"/>
  <c r="C39"/>
  <c r="N39" i="4"/>
  <c r="C39"/>
  <c r="K39" i="3"/>
  <c r="C39"/>
  <c r="C36" i="303"/>
  <c r="K40" i="6"/>
  <c r="C40"/>
  <c r="N40" i="4"/>
  <c r="K40" i="3"/>
  <c r="C40"/>
  <c r="C40" i="4"/>
  <c r="C38" i="303"/>
  <c r="K42" i="6"/>
  <c r="C42"/>
  <c r="N42" i="4"/>
  <c r="K42" i="3"/>
  <c r="C42"/>
  <c r="C42" i="4"/>
  <c r="C41" i="303"/>
  <c r="C45" i="6"/>
  <c r="N45" i="4"/>
  <c r="K45" i="6"/>
  <c r="C45" i="4"/>
  <c r="K45" i="3"/>
  <c r="C45"/>
  <c r="C43" i="303"/>
  <c r="K47" i="6"/>
  <c r="C47"/>
  <c r="N47" i="4"/>
  <c r="C47"/>
  <c r="K47" i="3"/>
  <c r="C47"/>
  <c r="C12" i="303"/>
  <c r="K16" i="6"/>
  <c r="C16"/>
  <c r="N16" i="4"/>
  <c r="C16"/>
  <c r="K16" i="3"/>
  <c r="C16"/>
  <c r="C13" i="303"/>
  <c r="N17" i="4"/>
  <c r="K17" i="6"/>
  <c r="C17"/>
  <c r="C17" i="4"/>
  <c r="K17" i="3"/>
  <c r="C17"/>
  <c r="C14" i="303"/>
  <c r="K18" i="6"/>
  <c r="C18"/>
  <c r="N18" i="4"/>
  <c r="C18"/>
  <c r="K18" i="3"/>
  <c r="C18"/>
  <c r="C15" i="303"/>
  <c r="K19" i="6"/>
  <c r="C19"/>
  <c r="N19" i="4"/>
  <c r="C19"/>
  <c r="K19" i="3"/>
  <c r="C19"/>
  <c r="C16" i="303"/>
  <c r="K20" i="6"/>
  <c r="C20"/>
  <c r="N20" i="4"/>
  <c r="C20"/>
  <c r="K20" i="3"/>
  <c r="C20"/>
  <c r="C17" i="303"/>
  <c r="N21" i="4"/>
  <c r="K21" i="6"/>
  <c r="C21"/>
  <c r="C21" i="4"/>
  <c r="K21" i="3"/>
  <c r="C21"/>
  <c r="C18" i="303"/>
  <c r="K22" i="6"/>
  <c r="C22"/>
  <c r="N22" i="4"/>
  <c r="C22"/>
  <c r="K22" i="3"/>
  <c r="C22"/>
  <c r="C19" i="303"/>
  <c r="K23" i="6"/>
  <c r="C23"/>
  <c r="N23" i="4"/>
  <c r="C23"/>
  <c r="K23" i="3"/>
  <c r="C23"/>
  <c r="C20" i="303"/>
  <c r="K24" i="6"/>
  <c r="C24"/>
  <c r="N24" i="4"/>
  <c r="K24" i="3"/>
  <c r="C24"/>
  <c r="C24" i="4"/>
  <c r="C21" i="303"/>
  <c r="K25" i="6"/>
  <c r="N25" i="4"/>
  <c r="C25" i="6"/>
  <c r="C25" i="4"/>
  <c r="K25" i="3"/>
  <c r="C25"/>
  <c r="D22" i="303"/>
  <c r="L26" i="6"/>
  <c r="D26"/>
  <c r="D26" i="4"/>
  <c r="O26"/>
  <c r="L26" i="3"/>
  <c r="D26"/>
  <c r="D23" i="303"/>
  <c r="D27" i="6"/>
  <c r="L27"/>
  <c r="D27" i="4"/>
  <c r="L27" i="3"/>
  <c r="D27"/>
  <c r="O27" i="4"/>
  <c r="D24" i="303"/>
  <c r="L28" i="6"/>
  <c r="D28"/>
  <c r="O28" i="4"/>
  <c r="D28"/>
  <c r="L28" i="3"/>
  <c r="D28"/>
  <c r="D25" i="303"/>
  <c r="L29" i="6"/>
  <c r="D29"/>
  <c r="O29" i="4"/>
  <c r="D29"/>
  <c r="L29" i="3"/>
  <c r="D29"/>
  <c r="D26" i="303"/>
  <c r="D30" i="6"/>
  <c r="L30"/>
  <c r="O30" i="4"/>
  <c r="D30"/>
  <c r="L30" i="3"/>
  <c r="D30"/>
  <c r="D27" i="303"/>
  <c r="L31" i="6"/>
  <c r="D31"/>
  <c r="O31" i="4"/>
  <c r="D31"/>
  <c r="L31" i="3"/>
  <c r="D31"/>
  <c r="D28" i="303"/>
  <c r="L32" i="6"/>
  <c r="D32"/>
  <c r="D32" i="4"/>
  <c r="O32"/>
  <c r="L32" i="3"/>
  <c r="D32"/>
  <c r="D29" i="303"/>
  <c r="L33" i="6"/>
  <c r="D33"/>
  <c r="D33" i="4"/>
  <c r="O33"/>
  <c r="L33" i="3"/>
  <c r="D33"/>
  <c r="D30" i="303"/>
  <c r="L34" i="6"/>
  <c r="D34"/>
  <c r="D34" i="4"/>
  <c r="O34"/>
  <c r="L34" i="3"/>
  <c r="D34"/>
  <c r="D31" i="303"/>
  <c r="D35" i="6"/>
  <c r="L35"/>
  <c r="D35" i="4"/>
  <c r="O35"/>
  <c r="L35" i="3"/>
  <c r="D35"/>
  <c r="D32" i="303"/>
  <c r="L36" i="6"/>
  <c r="D36"/>
  <c r="O36" i="4"/>
  <c r="D36"/>
  <c r="L36" i="3"/>
  <c r="D36"/>
  <c r="D33" i="303"/>
  <c r="L37" i="6"/>
  <c r="D37"/>
  <c r="O37" i="4"/>
  <c r="L37" i="3"/>
  <c r="D37"/>
  <c r="D37" i="4"/>
  <c r="D34" i="303"/>
  <c r="D38" i="6"/>
  <c r="L38"/>
  <c r="O38" i="4"/>
  <c r="D38"/>
  <c r="L38" i="3"/>
  <c r="D38"/>
  <c r="D35" i="303"/>
  <c r="L39" i="6"/>
  <c r="D39"/>
  <c r="O39" i="4"/>
  <c r="L39" i="3"/>
  <c r="D39" i="4"/>
  <c r="D39" i="3"/>
  <c r="D36" i="303"/>
  <c r="L40" i="6"/>
  <c r="D40"/>
  <c r="D40" i="4"/>
  <c r="O40"/>
  <c r="L40" i="3"/>
  <c r="D40"/>
  <c r="D37" i="303"/>
  <c r="L41" i="6"/>
  <c r="D41"/>
  <c r="D41" i="4"/>
  <c r="L41" i="3"/>
  <c r="D41"/>
  <c r="O41" i="4"/>
  <c r="D38" i="303"/>
  <c r="L42" i="6"/>
  <c r="D42"/>
  <c r="D42" i="4"/>
  <c r="O42"/>
  <c r="L42" i="3"/>
  <c r="D42"/>
  <c r="D39" i="303"/>
  <c r="D43" i="6"/>
  <c r="L43"/>
  <c r="D43" i="4"/>
  <c r="L43" i="3"/>
  <c r="D43"/>
  <c r="O43" i="4"/>
  <c r="D40" i="303"/>
  <c r="L44" i="6"/>
  <c r="D44"/>
  <c r="O44" i="4"/>
  <c r="D44"/>
  <c r="L44" i="3"/>
  <c r="D44"/>
  <c r="D41" i="303"/>
  <c r="L45" i="6"/>
  <c r="D45"/>
  <c r="O45" i="4"/>
  <c r="L45" i="3"/>
  <c r="D45"/>
  <c r="D45" i="4"/>
  <c r="D42" i="303"/>
  <c r="D46" i="6"/>
  <c r="L46"/>
  <c r="O46" i="4"/>
  <c r="D46"/>
  <c r="L46" i="3"/>
  <c r="D46"/>
  <c r="D43" i="303"/>
  <c r="L47" i="6"/>
  <c r="D47"/>
  <c r="O47" i="4"/>
  <c r="L47" i="3"/>
  <c r="D47"/>
  <c r="D47" i="4"/>
  <c r="D44" i="303"/>
  <c r="L48" i="6"/>
  <c r="D48"/>
  <c r="D48" i="4"/>
  <c r="O48"/>
  <c r="L48" i="3"/>
  <c r="D48"/>
  <c r="D45" i="303"/>
  <c r="L49" i="6"/>
  <c r="D49"/>
  <c r="D49" i="4"/>
  <c r="L49" i="3"/>
  <c r="D49"/>
  <c r="O49" i="4"/>
  <c r="D46" i="303"/>
  <c r="L50" i="6"/>
  <c r="D50"/>
  <c r="D50" i="4"/>
  <c r="O50"/>
  <c r="L50" i="3"/>
  <c r="D50"/>
  <c r="D47" i="303"/>
  <c r="D51" i="6"/>
  <c r="L51"/>
  <c r="D51" i="4"/>
  <c r="L51" i="3"/>
  <c r="D51"/>
  <c r="O51" i="4"/>
  <c r="D48" i="303"/>
  <c r="L52" i="6"/>
  <c r="D52"/>
  <c r="O52" i="4"/>
  <c r="D52"/>
  <c r="L52" i="3"/>
  <c r="D52"/>
  <c r="D49" i="303"/>
  <c r="L53" i="6"/>
  <c r="D53"/>
  <c r="O53" i="4"/>
  <c r="L53" i="3"/>
  <c r="D53"/>
  <c r="D53" i="4"/>
  <c r="D50" i="303"/>
  <c r="L54" i="6"/>
  <c r="D54"/>
  <c r="O54" i="4"/>
  <c r="D54"/>
  <c r="L54" i="3"/>
  <c r="D54"/>
  <c r="D51" i="303"/>
  <c r="L55" i="6"/>
  <c r="D55"/>
  <c r="O55" i="4"/>
  <c r="L55" i="3"/>
  <c r="D55"/>
  <c r="D55" i="4"/>
  <c r="D52" i="303"/>
  <c r="L56" i="6"/>
  <c r="D56"/>
  <c r="O56" i="4"/>
  <c r="D56"/>
  <c r="L56" i="3"/>
  <c r="D56"/>
  <c r="D53" i="303"/>
  <c r="L57" i="6"/>
  <c r="D57"/>
  <c r="O57" i="4"/>
  <c r="L57" i="3"/>
  <c r="D57"/>
  <c r="D57" i="4"/>
  <c r="D54" i="303"/>
  <c r="L58" i="6"/>
  <c r="D58"/>
  <c r="D58" i="4"/>
  <c r="O58"/>
  <c r="L58" i="3"/>
  <c r="D58"/>
  <c r="D55" i="303"/>
  <c r="L59" i="6"/>
  <c r="D59"/>
  <c r="D59" i="4"/>
  <c r="O59"/>
  <c r="L59" i="3"/>
  <c r="D59"/>
  <c r="D56" i="303"/>
  <c r="L60" i="6"/>
  <c r="D60"/>
  <c r="D60" i="4"/>
  <c r="O60"/>
  <c r="L60" i="3"/>
  <c r="D60"/>
  <c r="D57" i="303"/>
  <c r="L61" i="6"/>
  <c r="D61"/>
  <c r="D61" i="4"/>
  <c r="O61"/>
  <c r="L61" i="3"/>
  <c r="D61"/>
  <c r="D58" i="303"/>
  <c r="L62" i="6"/>
  <c r="D62"/>
  <c r="D62" i="4"/>
  <c r="O62"/>
  <c r="L62" i="3"/>
  <c r="D62"/>
  <c r="D59" i="303"/>
  <c r="L63" i="6"/>
  <c r="D63"/>
  <c r="O63" i="4"/>
  <c r="D63"/>
  <c r="L63" i="3"/>
  <c r="D63"/>
  <c r="D60" i="303"/>
  <c r="L64" i="6"/>
  <c r="D64"/>
  <c r="O64" i="4"/>
  <c r="D64"/>
  <c r="L64" i="3"/>
  <c r="D64"/>
  <c r="D61" i="303"/>
  <c r="L65" i="6"/>
  <c r="D65"/>
  <c r="O65" i="4"/>
  <c r="D65"/>
  <c r="L65" i="3"/>
  <c r="D65"/>
  <c r="D62" i="303"/>
  <c r="L66" i="6"/>
  <c r="D66"/>
  <c r="O66" i="4"/>
  <c r="D66"/>
  <c r="L66" i="3"/>
  <c r="D66"/>
  <c r="D63" i="303"/>
  <c r="D67" i="6"/>
  <c r="L67"/>
  <c r="O67" i="4"/>
  <c r="D67"/>
  <c r="L67" i="3"/>
  <c r="D67"/>
  <c r="D64" i="303"/>
  <c r="L68" i="6"/>
  <c r="D68"/>
  <c r="O68" i="4"/>
  <c r="D68"/>
  <c r="L68" i="3"/>
  <c r="D68"/>
  <c r="D65" i="303"/>
  <c r="L69" i="6"/>
  <c r="D69"/>
  <c r="O69" i="4"/>
  <c r="D69"/>
  <c r="L69" i="3"/>
  <c r="D69"/>
  <c r="D66" i="303"/>
  <c r="L70" i="6"/>
  <c r="D70"/>
  <c r="O70" i="4"/>
  <c r="D70"/>
  <c r="L70" i="3"/>
  <c r="D70"/>
  <c r="D67" i="303"/>
  <c r="L71" i="6"/>
  <c r="D71"/>
  <c r="O71" i="4"/>
  <c r="D71"/>
  <c r="L71" i="3"/>
  <c r="D71"/>
  <c r="D68" i="303"/>
  <c r="D72" i="6"/>
  <c r="L72"/>
  <c r="O72" i="4"/>
  <c r="D72"/>
  <c r="L72" i="3"/>
  <c r="D72"/>
  <c r="D69" i="303"/>
  <c r="L73" i="6"/>
  <c r="D73"/>
  <c r="D73" i="4"/>
  <c r="O73"/>
  <c r="L73" i="3"/>
  <c r="D73"/>
  <c r="D70" i="303"/>
  <c r="L74" i="6"/>
  <c r="D74"/>
  <c r="D74" i="4"/>
  <c r="O74"/>
  <c r="L74" i="3"/>
  <c r="D74"/>
  <c r="D71" i="303"/>
  <c r="L75" i="6"/>
  <c r="D75"/>
  <c r="D75" i="4"/>
  <c r="O75"/>
  <c r="L75" i="3"/>
  <c r="D75"/>
  <c r="D12" i="303"/>
  <c r="L16" i="6"/>
  <c r="D16"/>
  <c r="D16" i="4"/>
  <c r="O16"/>
  <c r="L16" i="3"/>
  <c r="D16"/>
  <c r="D15" i="303"/>
  <c r="L19" i="6"/>
  <c r="D19"/>
  <c r="D19" i="4"/>
  <c r="O19"/>
  <c r="L19" i="3"/>
  <c r="D19"/>
  <c r="D17" i="303"/>
  <c r="L21" i="6"/>
  <c r="D21"/>
  <c r="O21" i="4"/>
  <c r="D21"/>
  <c r="L21" i="3"/>
  <c r="D21"/>
  <c r="D19" i="303"/>
  <c r="L23" i="6"/>
  <c r="D23"/>
  <c r="O23" i="4"/>
  <c r="L23" i="3"/>
  <c r="D23"/>
  <c r="D23" i="4"/>
  <c r="C22" i="303"/>
  <c r="K26" i="6"/>
  <c r="C26"/>
  <c r="N26" i="4"/>
  <c r="C26"/>
  <c r="K26" i="3"/>
  <c r="C26"/>
  <c r="C24" i="303"/>
  <c r="C28" i="6"/>
  <c r="K28"/>
  <c r="N28" i="4"/>
  <c r="C28"/>
  <c r="K28" i="3"/>
  <c r="C28"/>
  <c r="C26" i="303"/>
  <c r="K30" i="6"/>
  <c r="C30"/>
  <c r="N30" i="4"/>
  <c r="C30"/>
  <c r="K30" i="3"/>
  <c r="C30"/>
  <c r="C28" i="303"/>
  <c r="K32" i="6"/>
  <c r="C32"/>
  <c r="N32" i="4"/>
  <c r="K32" i="3"/>
  <c r="C32" i="4"/>
  <c r="C32" i="3"/>
  <c r="C30" i="303"/>
  <c r="K34" i="6"/>
  <c r="C34"/>
  <c r="N34" i="4"/>
  <c r="K34" i="3"/>
  <c r="C34" i="4"/>
  <c r="C34" i="3"/>
  <c r="C32" i="303"/>
  <c r="C36" i="6"/>
  <c r="K36"/>
  <c r="N36" i="4"/>
  <c r="C36"/>
  <c r="K36" i="3"/>
  <c r="C36"/>
  <c r="C34" i="303"/>
  <c r="K38" i="6"/>
  <c r="C38"/>
  <c r="N38" i="4"/>
  <c r="C38"/>
  <c r="K38" i="3"/>
  <c r="C38"/>
  <c r="C37" i="303"/>
  <c r="K41" i="6"/>
  <c r="N41" i="4"/>
  <c r="C41" i="6"/>
  <c r="C41" i="4"/>
  <c r="K41" i="3"/>
  <c r="C41"/>
  <c r="C39" i="303"/>
  <c r="K43" i="6"/>
  <c r="C43"/>
  <c r="N43" i="4"/>
  <c r="C43"/>
  <c r="K43" i="3"/>
  <c r="C43"/>
  <c r="C40" i="303"/>
  <c r="C44" i="6"/>
  <c r="K44"/>
  <c r="N44" i="4"/>
  <c r="C44"/>
  <c r="K44" i="3"/>
  <c r="C44"/>
  <c r="C42" i="303"/>
  <c r="K46" i="6"/>
  <c r="C46"/>
  <c r="N46" i="4"/>
  <c r="C46"/>
  <c r="K46" i="3"/>
  <c r="C46"/>
  <c r="C44" i="303"/>
  <c r="K48" i="6"/>
  <c r="C48"/>
  <c r="N48" i="4"/>
  <c r="K48" i="3"/>
  <c r="C48"/>
  <c r="C48" i="4"/>
  <c r="C45" i="303"/>
  <c r="K49" i="6"/>
  <c r="N49" i="4"/>
  <c r="C49" i="6"/>
  <c r="C49" i="4"/>
  <c r="K49" i="3"/>
  <c r="C49"/>
  <c r="C46" i="303"/>
  <c r="K50" i="6"/>
  <c r="C50"/>
  <c r="N50" i="4"/>
  <c r="K50" i="3"/>
  <c r="C50"/>
  <c r="C50" i="4"/>
  <c r="C47" i="303"/>
  <c r="K51" i="6"/>
  <c r="C51"/>
  <c r="N51" i="4"/>
  <c r="C51"/>
  <c r="K51" i="3"/>
  <c r="C51"/>
  <c r="C48" i="303"/>
  <c r="C52" i="6"/>
  <c r="K52"/>
  <c r="N52" i="4"/>
  <c r="C52"/>
  <c r="K52" i="3"/>
  <c r="C52"/>
  <c r="C49" i="303"/>
  <c r="K53" i="6"/>
  <c r="C53"/>
  <c r="N53" i="4"/>
  <c r="C53"/>
  <c r="K53" i="3"/>
  <c r="C53"/>
  <c r="C50" i="303"/>
  <c r="K54" i="6"/>
  <c r="C54"/>
  <c r="N54" i="4"/>
  <c r="C54"/>
  <c r="K54" i="3"/>
  <c r="C54"/>
  <c r="C51" i="303"/>
  <c r="K55" i="6"/>
  <c r="C55"/>
  <c r="N55" i="4"/>
  <c r="C55"/>
  <c r="K55" i="3"/>
  <c r="C55"/>
  <c r="C52" i="303"/>
  <c r="K56" i="6"/>
  <c r="C56"/>
  <c r="N56" i="4"/>
  <c r="C56"/>
  <c r="K56" i="3"/>
  <c r="C56"/>
  <c r="C53" i="303"/>
  <c r="K57" i="6"/>
  <c r="C57"/>
  <c r="N57" i="4"/>
  <c r="C57"/>
  <c r="K57" i="3"/>
  <c r="C57"/>
  <c r="C54" i="303"/>
  <c r="K58" i="6"/>
  <c r="C58"/>
  <c r="N58" i="4"/>
  <c r="C58"/>
  <c r="K58" i="3"/>
  <c r="C58"/>
  <c r="C55" i="303"/>
  <c r="K59" i="6"/>
  <c r="C59"/>
  <c r="N59" i="4"/>
  <c r="C59"/>
  <c r="K59" i="3"/>
  <c r="C59"/>
  <c r="C56" i="303"/>
  <c r="K60" i="6"/>
  <c r="C60"/>
  <c r="N60" i="4"/>
  <c r="C60"/>
  <c r="K60" i="3"/>
  <c r="C60"/>
  <c r="C57" i="303"/>
  <c r="K61" i="6"/>
  <c r="C61"/>
  <c r="N61" i="4"/>
  <c r="C61"/>
  <c r="K61" i="3"/>
  <c r="C61"/>
  <c r="C58" i="303"/>
  <c r="K62" i="6"/>
  <c r="C62"/>
  <c r="N62" i="4"/>
  <c r="C62"/>
  <c r="K62" i="3"/>
  <c r="C62"/>
  <c r="C59" i="303"/>
  <c r="K63" i="6"/>
  <c r="C63"/>
  <c r="N63" i="4"/>
  <c r="C63"/>
  <c r="K63" i="3"/>
  <c r="C63"/>
  <c r="C60" i="303"/>
  <c r="K64" i="6"/>
  <c r="C64"/>
  <c r="C64" i="4"/>
  <c r="N64"/>
  <c r="K64" i="3"/>
  <c r="C64"/>
  <c r="C61" i="303"/>
  <c r="K65" i="6"/>
  <c r="C65"/>
  <c r="N65" i="4"/>
  <c r="C65"/>
  <c r="K65" i="3"/>
  <c r="C65"/>
  <c r="C62" i="303"/>
  <c r="K66" i="6"/>
  <c r="C66"/>
  <c r="C66" i="4"/>
  <c r="N66"/>
  <c r="K66" i="3"/>
  <c r="C66"/>
  <c r="C63" i="303"/>
  <c r="K67" i="6"/>
  <c r="C67"/>
  <c r="N67" i="4"/>
  <c r="C67"/>
  <c r="K67" i="3"/>
  <c r="C67"/>
  <c r="C64" i="303"/>
  <c r="K68" i="6"/>
  <c r="C68"/>
  <c r="C68" i="4"/>
  <c r="N68"/>
  <c r="K68" i="3"/>
  <c r="C68"/>
  <c r="C65" i="303"/>
  <c r="K69" i="6"/>
  <c r="C69"/>
  <c r="N69" i="4"/>
  <c r="C69"/>
  <c r="K69" i="3"/>
  <c r="C69"/>
  <c r="C66" i="303"/>
  <c r="K70" i="6"/>
  <c r="C70"/>
  <c r="C70" i="4"/>
  <c r="N70"/>
  <c r="K70" i="3"/>
  <c r="C70"/>
  <c r="C67" i="303"/>
  <c r="K71" i="6"/>
  <c r="C71"/>
  <c r="N71" i="4"/>
  <c r="C71"/>
  <c r="K71" i="3"/>
  <c r="C71"/>
  <c r="C68" i="303"/>
  <c r="K72" i="6"/>
  <c r="C72"/>
  <c r="C72" i="4"/>
  <c r="N72"/>
  <c r="K72" i="3"/>
  <c r="C72"/>
  <c r="C69" i="303"/>
  <c r="C73" i="6"/>
  <c r="K73"/>
  <c r="N73" i="4"/>
  <c r="C73"/>
  <c r="K73" i="3"/>
  <c r="C73"/>
  <c r="C70" i="303"/>
  <c r="C74" i="6"/>
  <c r="K74"/>
  <c r="N74" i="4"/>
  <c r="C74"/>
  <c r="K74" i="3"/>
  <c r="C74"/>
  <c r="C71" i="303"/>
  <c r="K75" i="6"/>
  <c r="C75"/>
  <c r="N75" i="4"/>
  <c r="C75"/>
  <c r="K75" i="3"/>
  <c r="C75"/>
  <c r="D72" i="303"/>
  <c r="D73"/>
  <c r="D74"/>
  <c r="C72"/>
  <c r="C73"/>
  <c r="C74"/>
  <c r="AQ7" i="317"/>
  <c r="L54" i="324"/>
  <c r="AP7" i="317"/>
  <c r="K54" i="324"/>
  <c r="AO7" i="317"/>
  <c r="J54" i="324"/>
  <c r="P53" i="302"/>
  <c r="V53" s="1"/>
  <c r="G7" i="2"/>
  <c r="J72" i="324" l="1"/>
  <c r="J68"/>
  <c r="J64"/>
  <c r="J60"/>
  <c r="J56"/>
  <c r="K72"/>
  <c r="K68"/>
  <c r="K64"/>
  <c r="K60"/>
  <c r="K56"/>
  <c r="L72"/>
  <c r="L64"/>
  <c r="H9"/>
  <c r="I75" s="1"/>
  <c r="H11"/>
  <c r="I83" s="1"/>
  <c r="H10"/>
  <c r="I79" s="1"/>
  <c r="H8"/>
  <c r="I71" s="1"/>
  <c r="J71" s="1"/>
  <c r="H7"/>
  <c r="I67" s="1"/>
  <c r="K67" s="1"/>
  <c r="H6"/>
  <c r="I63" s="1"/>
  <c r="J63" s="1"/>
  <c r="H4"/>
  <c r="H5"/>
  <c r="I59" s="1"/>
  <c r="K59" s="1"/>
  <c r="I8" i="317"/>
  <c r="H9" i="302"/>
  <c r="I9" s="1"/>
  <c r="H8"/>
  <c r="I8" s="1"/>
  <c r="H10"/>
  <c r="I10" s="1"/>
  <c r="H11"/>
  <c r="I11" s="1"/>
  <c r="H6"/>
  <c r="I6" s="1"/>
  <c r="H5"/>
  <c r="I5" s="1"/>
  <c r="H4"/>
  <c r="H7"/>
  <c r="I7" s="1"/>
  <c r="V30"/>
  <c r="V38"/>
  <c r="V42"/>
  <c r="L71" i="324" l="1"/>
  <c r="L73" s="1"/>
  <c r="K63"/>
  <c r="K65" s="1"/>
  <c r="K71"/>
  <c r="K73" s="1"/>
  <c r="J67"/>
  <c r="J69" s="1"/>
  <c r="J59"/>
  <c r="J61" s="1"/>
  <c r="L63"/>
  <c r="L65" s="1"/>
  <c r="K61"/>
  <c r="K69"/>
  <c r="J73"/>
  <c r="J65"/>
  <c r="I17"/>
  <c r="I55"/>
  <c r="I5"/>
  <c r="I21"/>
  <c r="I6"/>
  <c r="I25"/>
  <c r="I8"/>
  <c r="I33"/>
  <c r="I11"/>
  <c r="I45"/>
  <c r="I7"/>
  <c r="I29"/>
  <c r="I10"/>
  <c r="I41"/>
  <c r="I9"/>
  <c r="I37"/>
  <c r="P57" i="302"/>
  <c r="V57" s="1"/>
  <c r="N67" i="324" l="1"/>
  <c r="N59"/>
  <c r="P59" s="1"/>
  <c r="N71"/>
  <c r="J55"/>
  <c r="J57" s="1"/>
  <c r="J87" s="1"/>
  <c r="AO14" i="317" s="1"/>
  <c r="K55" i="324"/>
  <c r="K57" s="1"/>
  <c r="K87" s="1"/>
  <c r="AP14" i="317" s="1"/>
  <c r="N63" i="324"/>
  <c r="V61"/>
  <c r="O45" i="302"/>
  <c r="L21"/>
  <c r="P17"/>
  <c r="O22"/>
  <c r="L32"/>
  <c r="K20"/>
  <c r="M18"/>
  <c r="T45"/>
  <c r="O21"/>
  <c r="U29"/>
  <c r="S41"/>
  <c r="K37"/>
  <c r="T16"/>
  <c r="U36"/>
  <c r="R40"/>
  <c r="L17"/>
  <c r="R16"/>
  <c r="S24"/>
  <c r="M32"/>
  <c r="K18"/>
  <c r="T40"/>
  <c r="M44"/>
  <c r="T21"/>
  <c r="K45"/>
  <c r="L33"/>
  <c r="J45"/>
  <c r="L16"/>
  <c r="R21"/>
  <c r="L45"/>
  <c r="P16"/>
  <c r="S33"/>
  <c r="Q17"/>
  <c r="S22"/>
  <c r="M20"/>
  <c r="P22"/>
  <c r="U40"/>
  <c r="R37"/>
  <c r="N45"/>
  <c r="K24"/>
  <c r="S36"/>
  <c r="U28"/>
  <c r="O25"/>
  <c r="R20"/>
  <c r="K34"/>
  <c r="M41"/>
  <c r="R17"/>
  <c r="P45"/>
  <c r="N40"/>
  <c r="S16"/>
  <c r="Q40"/>
  <c r="L41"/>
  <c r="T24"/>
  <c r="U33"/>
  <c r="K32"/>
  <c r="R25"/>
  <c r="K44"/>
  <c r="P25"/>
  <c r="J22"/>
  <c r="N33"/>
  <c r="T36"/>
  <c r="N24"/>
  <c r="P40"/>
  <c r="T37"/>
  <c r="N25"/>
  <c r="O24"/>
  <c r="M36"/>
  <c r="L20"/>
  <c r="M16"/>
  <c r="P32"/>
  <c r="Q32"/>
  <c r="K21"/>
  <c r="M17"/>
  <c r="L25"/>
  <c r="S18"/>
  <c r="S20"/>
  <c r="N16"/>
  <c r="K17"/>
  <c r="O26"/>
  <c r="K36"/>
  <c r="J24"/>
  <c r="J20"/>
  <c r="P20"/>
  <c r="R36"/>
  <c r="M33"/>
  <c r="Q44"/>
  <c r="U37"/>
  <c r="O20"/>
  <c r="P21"/>
  <c r="M26"/>
  <c r="Q20"/>
  <c r="M34"/>
  <c r="N41"/>
  <c r="O41"/>
  <c r="U41"/>
  <c r="Q33"/>
  <c r="L36"/>
  <c r="T25"/>
  <c r="U24"/>
  <c r="M24"/>
  <c r="K40"/>
  <c r="O36"/>
  <c r="N36"/>
  <c r="Q41"/>
  <c r="R33"/>
  <c r="N21"/>
  <c r="S45"/>
  <c r="Q21"/>
  <c r="U16"/>
  <c r="R24"/>
  <c r="S25"/>
  <c r="O37"/>
  <c r="M40"/>
  <c r="O17"/>
  <c r="S17"/>
  <c r="N32"/>
  <c r="O16"/>
  <c r="N37"/>
  <c r="M21"/>
  <c r="J37"/>
  <c r="P41"/>
  <c r="T41"/>
  <c r="P37"/>
  <c r="Q36"/>
  <c r="L40"/>
  <c r="Q16"/>
  <c r="P36"/>
  <c r="Q45"/>
  <c r="Q25"/>
  <c r="J33"/>
  <c r="T22"/>
  <c r="J26"/>
  <c r="J32"/>
  <c r="L44"/>
  <c r="S37"/>
  <c r="T20"/>
  <c r="R32"/>
  <c r="S40"/>
  <c r="J44"/>
  <c r="J21"/>
  <c r="Q37"/>
  <c r="T17"/>
  <c r="R45"/>
  <c r="K25"/>
  <c r="M37"/>
  <c r="J40"/>
  <c r="S21"/>
  <c r="N20"/>
  <c r="J25"/>
  <c r="U45"/>
  <c r="P24"/>
  <c r="O44"/>
  <c r="J17"/>
  <c r="K41"/>
  <c r="O32"/>
  <c r="K33"/>
  <c r="Q24"/>
  <c r="U25"/>
  <c r="N44"/>
  <c r="J41"/>
  <c r="J16"/>
  <c r="L18"/>
  <c r="U17"/>
  <c r="U32"/>
  <c r="R41"/>
  <c r="M25"/>
  <c r="U22"/>
  <c r="S32"/>
  <c r="O40"/>
  <c r="O18"/>
  <c r="P33"/>
  <c r="L37"/>
  <c r="U21"/>
  <c r="R44"/>
  <c r="T32"/>
  <c r="L24"/>
  <c r="P44"/>
  <c r="T33"/>
  <c r="U26"/>
  <c r="T44"/>
  <c r="O33"/>
  <c r="M45"/>
  <c r="N17"/>
  <c r="U20"/>
  <c r="J36"/>
  <c r="U44"/>
  <c r="S44"/>
  <c r="T48" l="1"/>
  <c r="AY4" i="317" s="1"/>
  <c r="U48" i="302"/>
  <c r="AZ4" i="317" s="1"/>
  <c r="V40" i="302"/>
  <c r="V36"/>
  <c r="V20"/>
  <c r="V32"/>
  <c r="S48"/>
  <c r="AX4" i="317" s="1"/>
  <c r="V16" i="302"/>
  <c r="V44"/>
  <c r="V24"/>
  <c r="O48"/>
  <c r="AT4" i="317" s="1"/>
  <c r="V28" i="302"/>
  <c r="V57" i="324"/>
  <c r="N55"/>
  <c r="P55" s="1"/>
  <c r="V59"/>
  <c r="T22"/>
  <c r="T23" s="1"/>
  <c r="T49" s="1"/>
  <c r="AY11" i="317" s="1"/>
  <c r="L87" i="324"/>
  <c r="AQ14" i="317" s="1"/>
  <c r="P63" i="324"/>
  <c r="V65"/>
  <c r="V73"/>
  <c r="P71"/>
  <c r="P67"/>
  <c r="V67" s="1"/>
  <c r="V69"/>
  <c r="V41"/>
  <c r="V45"/>
  <c r="L34" i="302"/>
  <c r="Q18"/>
  <c r="R22"/>
  <c r="P18"/>
  <c r="J34"/>
  <c r="R26"/>
  <c r="N26"/>
  <c r="K26"/>
  <c r="L22"/>
  <c r="K22"/>
  <c r="M22"/>
  <c r="R34"/>
  <c r="N18"/>
  <c r="Q22"/>
  <c r="Q34"/>
  <c r="J18"/>
  <c r="N22"/>
  <c r="L26"/>
  <c r="N34"/>
  <c r="R18"/>
  <c r="T16" i="324" l="1"/>
  <c r="T21" s="1"/>
  <c r="L48" i="302"/>
  <c r="AQ4" i="317" s="1"/>
  <c r="K48" i="302"/>
  <c r="AP4" i="317" s="1"/>
  <c r="P48" i="302"/>
  <c r="AU4" i="317" s="1"/>
  <c r="S16" i="324"/>
  <c r="S17" s="1"/>
  <c r="V26" i="302"/>
  <c r="W24"/>
  <c r="X24" s="1"/>
  <c r="U16" i="324"/>
  <c r="M48" i="302"/>
  <c r="J48"/>
  <c r="J16" i="324" s="1"/>
  <c r="J34" s="1"/>
  <c r="N48" i="302"/>
  <c r="W16"/>
  <c r="X16" s="1"/>
  <c r="V18"/>
  <c r="Q48"/>
  <c r="R48"/>
  <c r="V22"/>
  <c r="W20"/>
  <c r="X20" s="1"/>
  <c r="W32"/>
  <c r="X32" s="1"/>
  <c r="V34"/>
  <c r="O16" i="324"/>
  <c r="V55"/>
  <c r="S18"/>
  <c r="M22"/>
  <c r="M33"/>
  <c r="M35" s="1"/>
  <c r="M21"/>
  <c r="M26"/>
  <c r="M25"/>
  <c r="M17"/>
  <c r="K17"/>
  <c r="M30"/>
  <c r="M29"/>
  <c r="M18"/>
  <c r="K33"/>
  <c r="K35" s="1"/>
  <c r="K18"/>
  <c r="S19"/>
  <c r="S49" s="1"/>
  <c r="AX11" i="317" s="1"/>
  <c r="L18" i="324"/>
  <c r="L19" s="1"/>
  <c r="U21"/>
  <c r="U22"/>
  <c r="V71"/>
  <c r="V63"/>
  <c r="K16" l="1"/>
  <c r="K22" s="1"/>
  <c r="P16"/>
  <c r="P18" s="1"/>
  <c r="L16"/>
  <c r="L26" s="1"/>
  <c r="J33"/>
  <c r="J35" s="1"/>
  <c r="J26"/>
  <c r="J22"/>
  <c r="J29"/>
  <c r="J30"/>
  <c r="J25"/>
  <c r="J21"/>
  <c r="J23" s="1"/>
  <c r="AO4" i="317"/>
  <c r="AR4"/>
  <c r="M16" i="324"/>
  <c r="M34" s="1"/>
  <c r="AV4" i="317"/>
  <c r="Q16" i="324"/>
  <c r="AW4" i="317"/>
  <c r="R16" i="324"/>
  <c r="AS4" i="317"/>
  <c r="N16" i="324"/>
  <c r="M19"/>
  <c r="M31"/>
  <c r="M23"/>
  <c r="M27"/>
  <c r="K19"/>
  <c r="U23"/>
  <c r="U49" s="1"/>
  <c r="AZ11" i="317" s="1"/>
  <c r="K30" i="324" l="1"/>
  <c r="K25"/>
  <c r="L29"/>
  <c r="K26"/>
  <c r="K21"/>
  <c r="K23" s="1"/>
  <c r="K34"/>
  <c r="K29"/>
  <c r="K31" s="1"/>
  <c r="P17"/>
  <c r="P19" s="1"/>
  <c r="P49" s="1"/>
  <c r="AU11" i="317" s="1"/>
  <c r="L25" i="324"/>
  <c r="L27" s="1"/>
  <c r="L30"/>
  <c r="L21"/>
  <c r="L22"/>
  <c r="L17"/>
  <c r="L33"/>
  <c r="L34"/>
  <c r="K27"/>
  <c r="Q33"/>
  <c r="Q34"/>
  <c r="Q22"/>
  <c r="Q21"/>
  <c r="J27"/>
  <c r="J31"/>
  <c r="N25"/>
  <c r="N26"/>
  <c r="N18"/>
  <c r="N34"/>
  <c r="N21"/>
  <c r="N22"/>
  <c r="N33"/>
  <c r="N30"/>
  <c r="N17"/>
  <c r="N29"/>
  <c r="R18"/>
  <c r="R22"/>
  <c r="R33"/>
  <c r="R17"/>
  <c r="R21"/>
  <c r="R25"/>
  <c r="R34"/>
  <c r="R35" s="1"/>
  <c r="R29"/>
  <c r="R30"/>
  <c r="R26"/>
  <c r="Q17"/>
  <c r="Q18"/>
  <c r="M49"/>
  <c r="AR11" i="317" s="1"/>
  <c r="J20" i="324"/>
  <c r="L31" l="1"/>
  <c r="L23"/>
  <c r="L35"/>
  <c r="K49"/>
  <c r="AP11" i="317" s="1"/>
  <c r="Q35" i="324"/>
  <c r="Q23"/>
  <c r="Q19"/>
  <c r="R23"/>
  <c r="N23"/>
  <c r="N19"/>
  <c r="N35"/>
  <c r="V33"/>
  <c r="N27"/>
  <c r="V25"/>
  <c r="R31"/>
  <c r="R27"/>
  <c r="R19"/>
  <c r="N31"/>
  <c r="V29"/>
  <c r="J18"/>
  <c r="J17"/>
  <c r="V17" s="1"/>
  <c r="L49" l="1"/>
  <c r="AQ11" i="317" s="1"/>
  <c r="Q49" i="324"/>
  <c r="AV11" i="317" s="1"/>
  <c r="W21" i="324"/>
  <c r="X21" s="1"/>
  <c r="V23"/>
  <c r="V31"/>
  <c r="W29"/>
  <c r="X29" s="1"/>
  <c r="N49"/>
  <c r="AS11" i="317" s="1"/>
  <c r="R49" i="324"/>
  <c r="AW11" i="317" s="1"/>
  <c r="V27" i="324"/>
  <c r="W25"/>
  <c r="X25" s="1"/>
  <c r="W33"/>
  <c r="X33" s="1"/>
  <c r="V35"/>
  <c r="J19"/>
  <c r="J49" s="1"/>
  <c r="AO11" i="317" s="1"/>
  <c r="W17" i="324" l="1"/>
  <c r="X17" s="1"/>
  <c r="V19"/>
</calcChain>
</file>

<file path=xl/sharedStrings.xml><?xml version="1.0" encoding="utf-8"?>
<sst xmlns="http://schemas.openxmlformats.org/spreadsheetml/2006/main" count="1055" uniqueCount="376">
  <si>
    <t>Subject Code</t>
  </si>
  <si>
    <t>Subject Name</t>
  </si>
  <si>
    <t>Semester</t>
  </si>
  <si>
    <t>Section</t>
  </si>
  <si>
    <t>Department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</si>
  <si>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</si>
  <si>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</si>
  <si>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</si>
  <si>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</si>
  <si>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</si>
  <si>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</si>
  <si>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</si>
  <si>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</si>
  <si>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</si>
  <si>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</si>
  <si>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</si>
  <si>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BIOTECHNOLOGY</t>
  </si>
  <si>
    <t>CHEMISTRY</t>
  </si>
  <si>
    <t>CIVIL ENGINEERING</t>
  </si>
  <si>
    <t>ELECTRONICS. ENGG.</t>
  </si>
  <si>
    <t>ELECTRICAL ENGG</t>
  </si>
  <si>
    <t>MATHEMATICS</t>
  </si>
  <si>
    <t>MASTER OF BUSINESS APPLICATION</t>
  </si>
  <si>
    <t>MASTER OF COMPUTER APPLICATION</t>
  </si>
  <si>
    <t>PHYSICS</t>
  </si>
  <si>
    <t>TELECOMMUNICATION ENGG</t>
  </si>
  <si>
    <t>COMPUTER SCIENCE AND ENGINEERING</t>
  </si>
  <si>
    <t>CO1</t>
  </si>
  <si>
    <t>CO2</t>
  </si>
  <si>
    <t>CO3</t>
  </si>
  <si>
    <t>CO4</t>
  </si>
  <si>
    <t>CO5</t>
  </si>
  <si>
    <t>CO6</t>
  </si>
  <si>
    <t>CO7</t>
  </si>
  <si>
    <t>CO8</t>
  </si>
  <si>
    <t>Strength</t>
  </si>
  <si>
    <t>Test 1</t>
  </si>
  <si>
    <t>Question</t>
  </si>
  <si>
    <t>Marks</t>
  </si>
  <si>
    <t>Option</t>
  </si>
  <si>
    <t>CO's</t>
  </si>
  <si>
    <t>Test 2</t>
  </si>
  <si>
    <t>Test 3</t>
  </si>
  <si>
    <t>Test Details</t>
  </si>
  <si>
    <t>Staff Name</t>
  </si>
  <si>
    <t>Test Question Pattern</t>
  </si>
  <si>
    <t>Students Name</t>
  </si>
  <si>
    <t>USN</t>
  </si>
  <si>
    <t>Sl no</t>
  </si>
  <si>
    <t>Please Enter/Paste the Student List  Below</t>
  </si>
  <si>
    <t>MECHANICAL ENGGINEERING</t>
  </si>
  <si>
    <t>K</t>
  </si>
  <si>
    <t>Description</t>
  </si>
  <si>
    <t xml:space="preserve">CO's </t>
  </si>
  <si>
    <t>Student Name</t>
  </si>
  <si>
    <t>Sl No</t>
  </si>
  <si>
    <t>Please Enter/Paste the Co List   Below</t>
  </si>
  <si>
    <t>Student List</t>
  </si>
  <si>
    <t>PO Mapping With CO</t>
  </si>
  <si>
    <t>Course Outcome</t>
  </si>
  <si>
    <t>Tools</t>
  </si>
  <si>
    <t>Program Outcome Attainment</t>
  </si>
  <si>
    <t>Co's</t>
  </si>
  <si>
    <t>Avg-T</t>
  </si>
  <si>
    <t>T-A</t>
  </si>
  <si>
    <t>Weightage</t>
  </si>
  <si>
    <t>Direct</t>
  </si>
  <si>
    <t>UE</t>
  </si>
  <si>
    <t>University Exam (UE)</t>
  </si>
  <si>
    <t>Attainment of 
Co's in Test</t>
  </si>
  <si>
    <t xml:space="preserve">Survey </t>
  </si>
  <si>
    <t>Attainment 
Level of CO 
in %</t>
  </si>
  <si>
    <t>Test Co's Attained</t>
  </si>
  <si>
    <t xml:space="preserve"> Marks Target</t>
  </si>
  <si>
    <t xml:space="preserve">INDUSTRIAL ENGINEERING AND MANAGEMENT </t>
  </si>
  <si>
    <t>Examination 
Marks Target</t>
  </si>
  <si>
    <t xml:space="preserve">  </t>
  </si>
  <si>
    <t>INFORMATION SCIENCE AND ENGINEERING</t>
  </si>
  <si>
    <t xml:space="preserve">Achievement 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</si>
  <si>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</si>
  <si>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</si>
  <si>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</si>
  <si>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</si>
  <si>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</si>
  <si>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</si>
  <si>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</si>
  <si>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</si>
  <si>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</si>
  <si>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</si>
  <si>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</si>
  <si>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</si>
  <si>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Staff Name :</t>
  </si>
  <si>
    <t>Subject code</t>
  </si>
  <si>
    <t>Scheme</t>
  </si>
  <si>
    <t>Select</t>
  </si>
  <si>
    <t>PSO1</t>
  </si>
  <si>
    <t>PSO2</t>
  </si>
  <si>
    <t>PSO3</t>
  </si>
  <si>
    <t>PSO4</t>
  </si>
  <si>
    <t>PSO Mapping</t>
  </si>
  <si>
    <t>Credit</t>
  </si>
  <si>
    <t>Program Specific Outcome Attainment</t>
  </si>
  <si>
    <t>CONTRIBUTION TO PROGRAMME SPECIFIC OUTCOMES IN PERCENTAGE (PSO's)</t>
  </si>
  <si>
    <t>CONTRIBUTION TO PROGRAMME OUTCOMES IN PERCENTAGE (PO's)</t>
  </si>
  <si>
    <r>
      <t xml:space="preserve">Red Color  - Strongly Mapped   </t>
    </r>
    <r>
      <rPr>
        <b/>
        <sz val="16"/>
        <color rgb="FFFFFF00"/>
        <rFont val="Calibri"/>
        <family val="2"/>
        <scheme val="minor"/>
      </rPr>
      <t xml:space="preserve"> (Value = 3)</t>
    </r>
  </si>
  <si>
    <r>
      <t xml:space="preserve">Green Color - Modaratly Mapped   </t>
    </r>
    <r>
      <rPr>
        <b/>
        <sz val="16"/>
        <color rgb="FFFFFF00"/>
        <rFont val="Calibri"/>
        <family val="2"/>
        <scheme val="minor"/>
      </rPr>
      <t>(Value = 2)</t>
    </r>
  </si>
  <si>
    <r>
      <t xml:space="preserve">Blue  Color -  Weakly Mapped   </t>
    </r>
    <r>
      <rPr>
        <b/>
        <sz val="16"/>
        <color rgb="FFFFFF00"/>
        <rFont val="Calibri"/>
        <family val="2"/>
        <scheme val="minor"/>
      </rPr>
      <t>(Value = 1)</t>
    </r>
  </si>
  <si>
    <t>Faculty Name</t>
  </si>
  <si>
    <t>Academic Year</t>
  </si>
  <si>
    <t>Credits</t>
  </si>
  <si>
    <t xml:space="preserve">Description </t>
  </si>
  <si>
    <t>Data Required</t>
  </si>
  <si>
    <t>NBA Course Code</t>
  </si>
  <si>
    <t xml:space="preserve">Class Trget </t>
  </si>
  <si>
    <t>Total</t>
  </si>
  <si>
    <t>Final Exam Marks</t>
  </si>
  <si>
    <t xml:space="preserve">Surey (Indirect Assessment </t>
  </si>
  <si>
    <t xml:space="preserve">Direct Assessment </t>
  </si>
  <si>
    <t>InDirect</t>
  </si>
  <si>
    <t>Surey</t>
  </si>
  <si>
    <t xml:space="preserve">PO Assessment </t>
  </si>
  <si>
    <t>SubjectCode</t>
  </si>
  <si>
    <t>Length</t>
  </si>
  <si>
    <t>mid 3</t>
  </si>
  <si>
    <t>Core</t>
  </si>
  <si>
    <t>Year</t>
  </si>
  <si>
    <t>Seq No</t>
  </si>
  <si>
    <t>Branch</t>
  </si>
  <si>
    <t>Start No</t>
  </si>
  <si>
    <t>Number</t>
  </si>
  <si>
    <t>NBA Code</t>
  </si>
  <si>
    <t>Sem_Sch</t>
  </si>
  <si>
    <t>No Subject</t>
  </si>
  <si>
    <t>Subcode</t>
  </si>
  <si>
    <t>Code</t>
  </si>
  <si>
    <t>10MAT41</t>
  </si>
  <si>
    <t>10ME33</t>
  </si>
  <si>
    <t>10ME34</t>
  </si>
  <si>
    <t>10ME35</t>
  </si>
  <si>
    <t>10ME43</t>
  </si>
  <si>
    <t>10ME44</t>
  </si>
  <si>
    <t>10ME45</t>
  </si>
  <si>
    <t>10MEA302</t>
  </si>
  <si>
    <t>10MEA306</t>
  </si>
  <si>
    <t>10MEA402</t>
  </si>
  <si>
    <t>10MEA406</t>
  </si>
  <si>
    <t>10MEB302</t>
  </si>
  <si>
    <t>10MEB306</t>
  </si>
  <si>
    <t>10MELA307</t>
  </si>
  <si>
    <t>10MEB402</t>
  </si>
  <si>
    <t>10MELA308</t>
  </si>
  <si>
    <t>10MEB406</t>
  </si>
  <si>
    <t>10MELB307</t>
  </si>
  <si>
    <t>10MELB308</t>
  </si>
  <si>
    <t>10MELA407</t>
  </si>
  <si>
    <t>10MELA408</t>
  </si>
  <si>
    <t>10MELB407</t>
  </si>
  <si>
    <t>10MELB408</t>
  </si>
  <si>
    <t>Please Fill the Discription, If not leave the cell blank</t>
  </si>
  <si>
    <t>Overall Program Outcome Attainment</t>
  </si>
  <si>
    <t>Overall Program Specific Outcome Attainment</t>
  </si>
  <si>
    <r>
      <t xml:space="preserve">Co-Attainment
 Details of Students and Staff 
</t>
    </r>
    <r>
      <rPr>
        <b/>
        <sz val="12"/>
        <color rgb="FFFFFF00"/>
        <rFont val="Tahoma"/>
        <family val="2"/>
      </rPr>
      <t>(Developed by  Dept of Computer Science)</t>
    </r>
  </si>
  <si>
    <t>CY101</t>
  </si>
  <si>
    <t>CE101</t>
  </si>
  <si>
    <t>EC101</t>
  </si>
  <si>
    <t>ME102</t>
  </si>
  <si>
    <t>CY102</t>
  </si>
  <si>
    <t>WS101</t>
  </si>
  <si>
    <t>IC101</t>
  </si>
  <si>
    <t>IC102</t>
  </si>
  <si>
    <t>MA201</t>
  </si>
  <si>
    <t>PH201</t>
  </si>
  <si>
    <t>CS201</t>
  </si>
  <si>
    <t>EE201</t>
  </si>
  <si>
    <t>ME201</t>
  </si>
  <si>
    <t>PH202</t>
  </si>
  <si>
    <t>CS202</t>
  </si>
  <si>
    <t>IC203</t>
  </si>
  <si>
    <t>IC204</t>
  </si>
  <si>
    <t>MA101</t>
  </si>
  <si>
    <t>subcode</t>
  </si>
  <si>
    <t>seq</t>
  </si>
  <si>
    <t>code for 5-8</t>
  </si>
  <si>
    <t>SSIT Date for 1st Sem</t>
  </si>
  <si>
    <t>Power System Analysis &amp; Stability</t>
  </si>
  <si>
    <t>S.K. GIRISH</t>
  </si>
  <si>
    <t>Representation of power system network and writing its per unit reactance diagram.</t>
  </si>
  <si>
    <t>Analyze the symmetrical faults.</t>
  </si>
  <si>
    <t>Determine short-circuit currents and phase voltages for unbalanced faults.</t>
  </si>
  <si>
    <t>Analyze the stability aspects of a power system.</t>
  </si>
  <si>
    <t>Use the basics of symmetrical components and writing sequence networks.</t>
  </si>
  <si>
    <t>Department of ELECTRICAL ENGG</t>
  </si>
  <si>
    <t>Attainment of Course Outcome from Internal Marks</t>
  </si>
  <si>
    <t>First Test Marks</t>
  </si>
  <si>
    <t>Subject Name : POWER SYSTEM ANALYSIS &amp; STABILITY</t>
  </si>
  <si>
    <t>Faculty Name  : S.K. GIRISH</t>
  </si>
  <si>
    <t>Sl.No.</t>
  </si>
  <si>
    <t xml:space="preserve">Students Name </t>
  </si>
  <si>
    <t>Q1</t>
  </si>
  <si>
    <t>Q2</t>
  </si>
  <si>
    <t>Q3</t>
  </si>
  <si>
    <t>Q4</t>
  </si>
  <si>
    <t>Analysis</t>
  </si>
  <si>
    <t>Tot</t>
  </si>
  <si>
    <t>% Marks</t>
  </si>
  <si>
    <t>Target</t>
  </si>
  <si>
    <t>Semester  : 6</t>
  </si>
  <si>
    <t>Section  : A</t>
  </si>
  <si>
    <t>TOTAL NUMBER OF STUDENTS ATTEMPTED</t>
  </si>
  <si>
    <t>EACH QUESTION MAX MARKS * TOTAL NUMBER OF STUDENTS ATTEMPTED</t>
  </si>
  <si>
    <t>COURSE OUTCOMES</t>
  </si>
  <si>
    <t>ATTAINED PERCENTAGE OF CO'S</t>
  </si>
  <si>
    <t>Co'S</t>
  </si>
  <si>
    <t>% Attainment</t>
  </si>
  <si>
    <t>% Target</t>
  </si>
  <si>
    <t>Final Analysis</t>
  </si>
  <si>
    <t>T1</t>
  </si>
  <si>
    <t>T2</t>
  </si>
  <si>
    <t>T3</t>
  </si>
  <si>
    <t>Average</t>
  </si>
  <si>
    <t>Second Test Marks</t>
  </si>
  <si>
    <t>Q5</t>
  </si>
  <si>
    <t>Third Test Marks</t>
  </si>
  <si>
    <t>Attainment of Course Outcome from Exam Marks</t>
  </si>
  <si>
    <t>Statistical Data</t>
  </si>
  <si>
    <t>Max.  Marks</t>
  </si>
  <si>
    <t>Attainment of Co's in Test</t>
  </si>
  <si>
    <t>Exam Result Analysis</t>
  </si>
  <si>
    <t>Grade</t>
  </si>
  <si>
    <t>Points</t>
  </si>
  <si>
    <t>S+</t>
  </si>
  <si>
    <t>S</t>
  </si>
  <si>
    <t>Ab</t>
  </si>
  <si>
    <t>No. of Students</t>
  </si>
  <si>
    <t>Examination Target</t>
  </si>
  <si>
    <t>Target Grade</t>
  </si>
  <si>
    <t>Target Achieved</t>
  </si>
  <si>
    <t>Exam Marks</t>
  </si>
  <si>
    <t>Above Traget %</t>
  </si>
  <si>
    <t>Semester  : 6 (A)</t>
  </si>
  <si>
    <t>Attainment of Course Outcome from Course End Survey</t>
  </si>
  <si>
    <t>Course End Survey</t>
  </si>
  <si>
    <t>(80-100%)</t>
  </si>
  <si>
    <t>(60-79%)</t>
  </si>
  <si>
    <t>(40-59%)</t>
  </si>
  <si>
    <t>EE6T01</t>
  </si>
  <si>
    <t>2018-19</t>
  </si>
  <si>
    <t xml:space="preserve"> 14EE029</t>
  </si>
  <si>
    <t xml:space="preserve"> VARUN K R</t>
  </si>
  <si>
    <t xml:space="preserve"> 15EE032</t>
  </si>
  <si>
    <t xml:space="preserve"> PUNEETH R</t>
  </si>
  <si>
    <t xml:space="preserve"> 16EE004</t>
  </si>
  <si>
    <t xml:space="preserve"> ANIL S BARKI</t>
  </si>
  <si>
    <t xml:space="preserve"> 16EE005</t>
  </si>
  <si>
    <t xml:space="preserve"> ARCHANA B.</t>
  </si>
  <si>
    <t xml:space="preserve"> 16EE006</t>
  </si>
  <si>
    <t xml:space="preserve"> AYESHA SHAMAIL</t>
  </si>
  <si>
    <t xml:space="preserve"> 16EE008</t>
  </si>
  <si>
    <t xml:space="preserve"> BHAGYASHREE</t>
  </si>
  <si>
    <t xml:space="preserve"> 16EE009</t>
  </si>
  <si>
    <t xml:space="preserve"> BHAVANA H M</t>
  </si>
  <si>
    <t xml:space="preserve"> 16EE010</t>
  </si>
  <si>
    <t xml:space="preserve"> BHIMANAIKA Y</t>
  </si>
  <si>
    <t xml:space="preserve"> 16EE011</t>
  </si>
  <si>
    <t xml:space="preserve"> BINDUSHREE T.A.</t>
  </si>
  <si>
    <t xml:space="preserve"> 16EE012</t>
  </si>
  <si>
    <t xml:space="preserve"> BRUNDA S</t>
  </si>
  <si>
    <t xml:space="preserve"> 16EE013</t>
  </si>
  <si>
    <t xml:space="preserve"> CHAITHRA S</t>
  </si>
  <si>
    <t xml:space="preserve"> 16EE014</t>
  </si>
  <si>
    <t xml:space="preserve"> CHETHAN M</t>
  </si>
  <si>
    <t xml:space="preserve"> 16EE016</t>
  </si>
  <si>
    <t xml:space="preserve"> DEEKSHITH M S</t>
  </si>
  <si>
    <t xml:space="preserve"> 16EE017</t>
  </si>
  <si>
    <t xml:space="preserve"> DEEPTI M HONGUTHI</t>
  </si>
  <si>
    <t xml:space="preserve"> 16EE020</t>
  </si>
  <si>
    <t xml:space="preserve"> HARSHA</t>
  </si>
  <si>
    <t xml:space="preserve"> 16EE021</t>
  </si>
  <si>
    <t xml:space="preserve"> JEEVITHA L R</t>
  </si>
  <si>
    <t xml:space="preserve"> 16EE022</t>
  </si>
  <si>
    <t xml:space="preserve"> JULEKHA B</t>
  </si>
  <si>
    <t>16EE023</t>
  </si>
  <si>
    <t>JYOTHI S N</t>
  </si>
  <si>
    <t xml:space="preserve"> 16EE025</t>
  </si>
  <si>
    <t xml:space="preserve"> KAVANA S</t>
  </si>
  <si>
    <t xml:space="preserve"> 16EE027</t>
  </si>
  <si>
    <t xml:space="preserve"> KUMAR RAGHAVENDRA G.B.</t>
  </si>
  <si>
    <t xml:space="preserve"> 16EE028</t>
  </si>
  <si>
    <t xml:space="preserve"> LAKSHMI R</t>
  </si>
  <si>
    <t xml:space="preserve"> 16EE031</t>
  </si>
  <si>
    <t xml:space="preserve"> MANOJ T</t>
  </si>
  <si>
    <t xml:space="preserve"> 16EE032</t>
  </si>
  <si>
    <t xml:space="preserve"> MD SARJIL ANSARI</t>
  </si>
  <si>
    <t xml:space="preserve"> 16EE034</t>
  </si>
  <si>
    <t xml:space="preserve"> MITHILA A R THOTADA</t>
  </si>
  <si>
    <t xml:space="preserve"> 16EE035</t>
  </si>
  <si>
    <t xml:space="preserve"> MOUNA K.M</t>
  </si>
  <si>
    <t xml:space="preserve"> 16EE036</t>
  </si>
  <si>
    <t xml:space="preserve"> NARASIMHANAYAKA D</t>
  </si>
  <si>
    <t xml:space="preserve"> 16EE037</t>
  </si>
  <si>
    <t xml:space="preserve"> NIKHIL H M</t>
  </si>
  <si>
    <t xml:space="preserve"> 16EE038</t>
  </si>
  <si>
    <t xml:space="preserve"> NITHIN N GUJJAR</t>
  </si>
  <si>
    <t xml:space="preserve"> 16EE039</t>
  </si>
  <si>
    <t xml:space="preserve"> NITHIN GOWDA B N</t>
  </si>
  <si>
    <t xml:space="preserve"> 16EE042</t>
  </si>
  <si>
    <t xml:space="preserve"> RAKSHITHA T U</t>
  </si>
  <si>
    <t xml:space="preserve"> 16EE043</t>
  </si>
  <si>
    <t xml:space="preserve"> RAMKUMAR K M</t>
  </si>
  <si>
    <t xml:space="preserve"> 16EE045</t>
  </si>
  <si>
    <t xml:space="preserve"> RENUKA K</t>
  </si>
  <si>
    <t xml:space="preserve"> 16EE046</t>
  </si>
  <si>
    <t xml:space="preserve"> RESHMA</t>
  </si>
  <si>
    <t xml:space="preserve"> 16EE047</t>
  </si>
  <si>
    <t xml:space="preserve"> SAHINABEGAUM NADAF</t>
  </si>
  <si>
    <t xml:space="preserve"> 16EE048</t>
  </si>
  <si>
    <t xml:space="preserve"> SANDEEP KUMAR MURMU</t>
  </si>
  <si>
    <t xml:space="preserve"> 16EE049</t>
  </si>
  <si>
    <t xml:space="preserve"> SHARIKA</t>
  </si>
  <si>
    <t xml:space="preserve"> 16EE050</t>
  </si>
  <si>
    <t xml:space="preserve"> SHWETHA R JAGADALE</t>
  </si>
  <si>
    <t xml:space="preserve"> 16EE051</t>
  </si>
  <si>
    <t xml:space="preserve"> SUCHITRA</t>
  </si>
  <si>
    <t xml:space="preserve"> 16EE052</t>
  </si>
  <si>
    <t xml:space="preserve"> SWATHI RAMESH R</t>
  </si>
  <si>
    <t xml:space="preserve"> 16EE053</t>
  </si>
  <si>
    <t xml:space="preserve"> TABREZ ALLAM</t>
  </si>
  <si>
    <t xml:space="preserve"> 16EE054</t>
  </si>
  <si>
    <t xml:space="preserve"> VENKATESH H</t>
  </si>
  <si>
    <t xml:space="preserve"> 16EE055</t>
  </si>
  <si>
    <t xml:space="preserve"> VIDYA I K</t>
  </si>
  <si>
    <t xml:space="preserve"> 16EE056</t>
  </si>
  <si>
    <t xml:space="preserve"> YAMUNA S R</t>
  </si>
  <si>
    <t xml:space="preserve"> 16EE061</t>
  </si>
  <si>
    <t xml:space="preserve"> NAYANA T A</t>
  </si>
  <si>
    <t xml:space="preserve"> 16EE062</t>
  </si>
  <si>
    <t xml:space="preserve"> AISHWARIYA</t>
  </si>
  <si>
    <t xml:space="preserve"> 16EE063</t>
  </si>
  <si>
    <t xml:space="preserve"> T N RANJEET</t>
  </si>
  <si>
    <t xml:space="preserve"> 16EE064</t>
  </si>
  <si>
    <t xml:space="preserve"> VIDYASHRI S</t>
  </si>
  <si>
    <t xml:space="preserve"> 16EE409</t>
  </si>
  <si>
    <t xml:space="preserve"> MANIKANTA HEGDE N</t>
  </si>
  <si>
    <t xml:space="preserve"> 16EE410</t>
  </si>
  <si>
    <t xml:space="preserve"> PADMA PRASAD K.L</t>
  </si>
  <si>
    <t xml:space="preserve"> 17EE400</t>
  </si>
  <si>
    <t xml:space="preserve"> AKASH M</t>
  </si>
  <si>
    <t xml:space="preserve"> 17EE401</t>
  </si>
  <si>
    <t xml:space="preserve"> AMITH MAHAGAVNKAR</t>
  </si>
  <si>
    <t xml:space="preserve"> 17EE402</t>
  </si>
  <si>
    <t xml:space="preserve"> DEVIKARANI M C</t>
  </si>
  <si>
    <t xml:space="preserve"> 17EE403</t>
  </si>
  <si>
    <t xml:space="preserve"> HAMSALEKHA V S</t>
  </si>
  <si>
    <t xml:space="preserve"> 17EE404</t>
  </si>
  <si>
    <t xml:space="preserve"> HARISH S</t>
  </si>
  <si>
    <t xml:space="preserve"> 17EE405</t>
  </si>
  <si>
    <t xml:space="preserve"> J ASIYA</t>
  </si>
  <si>
    <t xml:space="preserve"> 17EE406</t>
  </si>
  <si>
    <t xml:space="preserve"> MANJUNATHA K</t>
  </si>
  <si>
    <t xml:space="preserve"> 17EE408</t>
  </si>
  <si>
    <t xml:space="preserve"> RAVINDRA</t>
  </si>
  <si>
    <t xml:space="preserve"> 17EE409</t>
  </si>
  <si>
    <t xml:space="preserve"> SAMARTHA NAVALE</t>
  </si>
  <si>
    <t xml:space="preserve"> 17EE410</t>
  </si>
  <si>
    <t xml:space="preserve"> SNEHA MATHAPATI</t>
  </si>
  <si>
    <t xml:space="preserve"> 17EE411</t>
  </si>
  <si>
    <t xml:space="preserve"> SUHAS T A</t>
  </si>
  <si>
    <t xml:space="preserve"> 17EE412</t>
  </si>
  <si>
    <t xml:space="preserve"> VARSHA</t>
  </si>
  <si>
    <t>C0.1</t>
  </si>
  <si>
    <t>C0.2</t>
  </si>
  <si>
    <t>C0.3</t>
  </si>
  <si>
    <t>C0.4</t>
  </si>
  <si>
    <t>C0.5</t>
  </si>
  <si>
    <t>Subject Code : EE6T01</t>
  </si>
  <si>
    <t>Subject Name: POWER SYSTEM ANALYSIS &amp; STABILITY (EE6T01)</t>
  </si>
</sst>
</file>

<file path=xl/styles.xml><?xml version="1.0" encoding="utf-8"?>
<styleSheet xmlns="http://schemas.openxmlformats.org/spreadsheetml/2006/main">
  <numFmts count="1">
    <numFmt numFmtId="164" formatCode="0.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6"/>
      <color rgb="FFFF3505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entury"/>
      <family val="1"/>
    </font>
    <font>
      <sz val="18"/>
      <color theme="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4"/>
      <color rgb="FFFFFF00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16"/>
      <name val="Times New Roman"/>
      <family val="1"/>
    </font>
    <font>
      <b/>
      <sz val="11"/>
      <name val="Calibri"/>
      <family val="2"/>
    </font>
    <font>
      <b/>
      <sz val="10"/>
      <color theme="1"/>
      <name val="Calibri"/>
      <family val="2"/>
    </font>
    <font>
      <b/>
      <sz val="12"/>
      <color rgb="FFFFFF00"/>
      <name val="Tahoma"/>
      <family val="2"/>
    </font>
    <font>
      <b/>
      <sz val="14"/>
      <color theme="1"/>
      <name val="Times New Roman"/>
      <family val="1"/>
    </font>
    <font>
      <b/>
      <sz val="16"/>
      <color theme="5"/>
      <name val="Calibri"/>
      <family val="2"/>
      <scheme val="minor"/>
    </font>
    <font>
      <b/>
      <sz val="36"/>
      <color rgb="FFFFFF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00206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993300"/>
      <name val="Calibri"/>
      <family val="2"/>
      <scheme val="minor"/>
    </font>
    <font>
      <b/>
      <sz val="11"/>
      <color rgb="FF333399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</fills>
  <borders count="7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3F3F3F"/>
      </right>
      <top style="thick">
        <color indexed="64"/>
      </top>
      <bottom/>
      <diagonal/>
    </border>
    <border>
      <left style="thin">
        <color rgb="FF3F3F3F"/>
      </left>
      <right style="thin">
        <color rgb="FF3F3F3F"/>
      </right>
      <top style="thick">
        <color indexed="64"/>
      </top>
      <bottom/>
      <diagonal/>
    </border>
    <border>
      <left style="thin">
        <color rgb="FF3F3F3F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41" fillId="0" borderId="0"/>
  </cellStyleXfs>
  <cellXfs count="537">
    <xf numFmtId="0" fontId="0" fillId="0" borderId="0" xfId="0"/>
    <xf numFmtId="0" fontId="0" fillId="7" borderId="0" xfId="0" applyFill="1"/>
    <xf numFmtId="0" fontId="0" fillId="8" borderId="0" xfId="0" applyFill="1"/>
    <xf numFmtId="0" fontId="0" fillId="9" borderId="9" xfId="0" applyFill="1" applyBorder="1"/>
    <xf numFmtId="0" fontId="0" fillId="9" borderId="0" xfId="0" applyFill="1" applyBorder="1"/>
    <xf numFmtId="0" fontId="0" fillId="9" borderId="10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21" xfId="0" applyFill="1" applyBorder="1"/>
    <xf numFmtId="0" fontId="0" fillId="9" borderId="9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9" borderId="22" xfId="0" applyFill="1" applyBorder="1"/>
    <xf numFmtId="0" fontId="4" fillId="13" borderId="0" xfId="0" applyFont="1" applyFill="1" applyAlignment="1">
      <alignment vertical="center"/>
    </xf>
    <xf numFmtId="0" fontId="4" fillId="13" borderId="25" xfId="0" applyFont="1" applyFill="1" applyBorder="1" applyAlignment="1">
      <alignment vertical="center"/>
    </xf>
    <xf numFmtId="0" fontId="4" fillId="13" borderId="26" xfId="0" applyFont="1" applyFill="1" applyBorder="1" applyAlignment="1">
      <alignment vertical="center"/>
    </xf>
    <xf numFmtId="0" fontId="13" fillId="14" borderId="30" xfId="0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vertical="center"/>
    </xf>
    <xf numFmtId="0" fontId="0" fillId="13" borderId="0" xfId="0" applyFill="1"/>
    <xf numFmtId="0" fontId="0" fillId="13" borderId="32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6" fillId="4" borderId="11" xfId="3" applyFont="1" applyBorder="1" applyAlignment="1" applyProtection="1">
      <alignment horizontal="center" vertical="center"/>
      <protection hidden="1"/>
    </xf>
    <xf numFmtId="0" fontId="14" fillId="9" borderId="0" xfId="0" applyFont="1" applyFill="1" applyBorder="1" applyAlignment="1" applyProtection="1">
      <alignment horizontal="left" vertical="center"/>
      <protection hidden="1"/>
    </xf>
    <xf numFmtId="0" fontId="4" fillId="9" borderId="0" xfId="0" applyFont="1" applyFill="1" applyBorder="1" applyAlignment="1" applyProtection="1">
      <alignment horizontal="left"/>
      <protection hidden="1"/>
    </xf>
    <xf numFmtId="0" fontId="17" fillId="17" borderId="45" xfId="9" applyFont="1" applyBorder="1" applyAlignment="1" applyProtection="1">
      <alignment horizontal="center" vertical="center"/>
      <protection hidden="1"/>
    </xf>
    <xf numFmtId="0" fontId="12" fillId="14" borderId="31" xfId="0" applyFont="1" applyFill="1" applyBorder="1" applyAlignment="1" applyProtection="1">
      <alignment horizontal="left" vertical="center"/>
      <protection hidden="1"/>
    </xf>
    <xf numFmtId="0" fontId="0" fillId="7" borderId="0" xfId="0" applyFill="1" applyProtection="1">
      <protection locked="0"/>
    </xf>
    <xf numFmtId="0" fontId="0" fillId="7" borderId="0" xfId="0" applyFill="1" applyAlignment="1" applyProtection="1">
      <alignment vertical="center"/>
      <protection locked="0"/>
    </xf>
    <xf numFmtId="0" fontId="6" fillId="6" borderId="49" xfId="5" applyFont="1" applyBorder="1" applyAlignment="1" applyProtection="1">
      <alignment horizontal="center" vertical="center"/>
      <protection locked="0"/>
    </xf>
    <xf numFmtId="0" fontId="6" fillId="6" borderId="2" xfId="5" applyFont="1" applyBorder="1" applyAlignment="1" applyProtection="1">
      <alignment horizontal="center" vertical="center"/>
      <protection locked="0"/>
    </xf>
    <xf numFmtId="0" fontId="6" fillId="6" borderId="50" xfId="5" applyFont="1" applyBorder="1" applyAlignment="1" applyProtection="1">
      <alignment horizontal="center" vertical="center"/>
      <protection locked="0"/>
    </xf>
    <xf numFmtId="0" fontId="0" fillId="13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22" borderId="36" xfId="0" applyFont="1" applyFill="1" applyBorder="1" applyAlignment="1">
      <alignment horizontal="center"/>
    </xf>
    <xf numFmtId="2" fontId="6" fillId="13" borderId="36" xfId="0" applyNumberFormat="1" applyFont="1" applyFill="1" applyBorder="1" applyAlignment="1">
      <alignment horizontal="center"/>
    </xf>
    <xf numFmtId="2" fontId="14" fillId="9" borderId="36" xfId="0" applyNumberFormat="1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 vertical="center" wrapText="1"/>
    </xf>
    <xf numFmtId="0" fontId="0" fillId="13" borderId="0" xfId="0" applyFill="1" applyBorder="1"/>
    <xf numFmtId="2" fontId="6" fillId="13" borderId="0" xfId="0" applyNumberFormat="1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/>
    </xf>
    <xf numFmtId="9" fontId="6" fillId="13" borderId="0" xfId="10" applyFont="1" applyFill="1" applyBorder="1" applyAlignment="1">
      <alignment horizontal="center" vertical="center"/>
    </xf>
    <xf numFmtId="2" fontId="0" fillId="0" borderId="0" xfId="0" applyNumberFormat="1"/>
    <xf numFmtId="2" fontId="0" fillId="13" borderId="0" xfId="0" applyNumberFormat="1" applyFill="1"/>
    <xf numFmtId="0" fontId="0" fillId="13" borderId="56" xfId="0" applyFill="1" applyBorder="1" applyAlignment="1"/>
    <xf numFmtId="1" fontId="37" fillId="10" borderId="36" xfId="0" applyNumberFormat="1" applyFont="1" applyFill="1" applyBorder="1" applyAlignment="1">
      <alignment horizontal="center" vertical="center" wrapText="1"/>
    </xf>
    <xf numFmtId="2" fontId="38" fillId="22" borderId="36" xfId="0" applyNumberFormat="1" applyFont="1" applyFill="1" applyBorder="1" applyAlignment="1">
      <alignment horizontal="center" vertical="center" wrapText="1"/>
    </xf>
    <xf numFmtId="2" fontId="31" fillId="19" borderId="36" xfId="0" applyNumberFormat="1" applyFont="1" applyFill="1" applyBorder="1" applyAlignment="1">
      <alignment horizontal="center" vertical="center"/>
    </xf>
    <xf numFmtId="2" fontId="15" fillId="15" borderId="35" xfId="0" applyNumberFormat="1" applyFont="1" applyFill="1" applyBorder="1" applyAlignment="1">
      <alignment horizontal="center" vertical="center"/>
    </xf>
    <xf numFmtId="2" fontId="6" fillId="13" borderId="36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/>
    <xf numFmtId="1" fontId="21" fillId="0" borderId="0" xfId="0" applyNumberFormat="1" applyFont="1" applyBorder="1" applyAlignment="1">
      <alignment vertical="center" wrapText="1"/>
    </xf>
    <xf numFmtId="1" fontId="14" fillId="0" borderId="0" xfId="0" applyNumberFormat="1" applyFont="1" applyBorder="1" applyAlignment="1">
      <alignment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1" fontId="28" fillId="0" borderId="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 applyProtection="1">
      <alignment horizontal="center" vertical="center" wrapText="1"/>
      <protection hidden="1"/>
    </xf>
    <xf numFmtId="1" fontId="28" fillId="0" borderId="0" xfId="0" applyNumberFormat="1" applyFont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/>
    <xf numFmtId="1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Font="1" applyFill="1" applyBorder="1"/>
    <xf numFmtId="1" fontId="0" fillId="0" borderId="0" xfId="0" applyNumberForma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1" fontId="0" fillId="0" borderId="0" xfId="0" applyNumberFormat="1" applyFill="1" applyBorder="1" applyAlignment="1"/>
    <xf numFmtId="1" fontId="0" fillId="0" borderId="0" xfId="0" applyNumberFormat="1" applyFill="1" applyBorder="1"/>
    <xf numFmtId="1" fontId="22" fillId="0" borderId="0" xfId="0" applyNumberFormat="1" applyFont="1" applyFill="1" applyBorder="1" applyAlignment="1">
      <alignment vertical="center" wrapText="1"/>
    </xf>
    <xf numFmtId="1" fontId="26" fillId="0" borderId="0" xfId="0" applyNumberFormat="1" applyFont="1" applyBorder="1" applyAlignment="1">
      <alignment vertical="center" wrapText="1"/>
    </xf>
    <xf numFmtId="1" fontId="21" fillId="0" borderId="0" xfId="0" quotePrefix="1" applyNumberFormat="1" applyFont="1" applyFill="1" applyBorder="1" applyAlignment="1">
      <alignment horizontal="center" vertical="center" wrapText="1"/>
    </xf>
    <xf numFmtId="1" fontId="14" fillId="0" borderId="0" xfId="0" quotePrefix="1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left" vertical="center" wrapText="1"/>
    </xf>
    <xf numFmtId="1" fontId="4" fillId="0" borderId="0" xfId="1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" fontId="0" fillId="0" borderId="0" xfId="0" applyNumberFormat="1" applyFont="1" applyBorder="1" applyAlignment="1"/>
    <xf numFmtId="1" fontId="0" fillId="0" borderId="0" xfId="0" applyNumberFormat="1" applyFont="1" applyBorder="1"/>
    <xf numFmtId="1" fontId="0" fillId="0" borderId="0" xfId="0" applyNumberFormat="1" applyBorder="1" applyAlignment="1"/>
    <xf numFmtId="1" fontId="0" fillId="0" borderId="0" xfId="0" applyNumberFormat="1" applyBorder="1" applyAlignment="1">
      <alignment horizontal="center"/>
    </xf>
    <xf numFmtId="1" fontId="43" fillId="0" borderId="0" xfId="12" applyNumberFormat="1" applyFont="1" applyBorder="1" applyAlignment="1">
      <alignment horizontal="center" vertical="center"/>
    </xf>
    <xf numFmtId="1" fontId="44" fillId="0" borderId="0" xfId="12" applyNumberFormat="1" applyFont="1" applyBorder="1" applyAlignment="1">
      <alignment horizontal="center" vertical="center" wrapText="1"/>
    </xf>
    <xf numFmtId="9" fontId="4" fillId="13" borderId="0" xfId="0" applyNumberFormat="1" applyFont="1" applyFill="1" applyBorder="1" applyAlignment="1">
      <alignment horizontal="center" vertical="center" wrapText="1"/>
    </xf>
    <xf numFmtId="1" fontId="4" fillId="13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1" fontId="42" fillId="0" borderId="0" xfId="12" applyNumberFormat="1" applyFont="1" applyBorder="1" applyAlignment="1">
      <alignment horizontal="center" vertical="center" wrapText="1"/>
    </xf>
    <xf numFmtId="1" fontId="44" fillId="0" borderId="0" xfId="12" applyNumberFormat="1" applyFont="1" applyBorder="1" applyAlignment="1">
      <alignment horizontal="left" vertical="center" wrapText="1"/>
    </xf>
    <xf numFmtId="1" fontId="0" fillId="0" borderId="0" xfId="0" applyNumberFormat="1" applyBorder="1"/>
    <xf numFmtId="0" fontId="6" fillId="6" borderId="49" xfId="5" applyFont="1" applyBorder="1" applyAlignment="1">
      <alignment horizontal="center" vertical="center"/>
    </xf>
    <xf numFmtId="0" fontId="6" fillId="6" borderId="2" xfId="5" applyFont="1" applyBorder="1" applyAlignment="1">
      <alignment horizontal="center" vertical="center"/>
    </xf>
    <xf numFmtId="0" fontId="3" fillId="5" borderId="50" xfId="4" applyFont="1" applyBorder="1" applyAlignment="1">
      <alignment horizontal="center" vertical="center"/>
    </xf>
    <xf numFmtId="0" fontId="6" fillId="6" borderId="50" xfId="5" applyFont="1" applyBorder="1" applyAlignment="1">
      <alignment horizontal="center" vertical="center"/>
    </xf>
    <xf numFmtId="2" fontId="39" fillId="23" borderId="52" xfId="0" applyNumberFormat="1" applyFont="1" applyFill="1" applyBorder="1" applyAlignment="1">
      <alignment horizontal="center" vertical="center"/>
    </xf>
    <xf numFmtId="2" fontId="39" fillId="23" borderId="53" xfId="0" applyNumberFormat="1" applyFont="1" applyFill="1" applyBorder="1" applyAlignment="1">
      <alignment horizontal="center" vertical="center"/>
    </xf>
    <xf numFmtId="1" fontId="45" fillId="0" borderId="0" xfId="12" applyNumberFormat="1" applyFont="1" applyBorder="1" applyAlignment="1">
      <alignment horizontal="center" vertical="center" wrapText="1"/>
    </xf>
    <xf numFmtId="1" fontId="45" fillId="0" borderId="0" xfId="0" applyNumberFormat="1" applyFont="1" applyBorder="1" applyAlignment="1">
      <alignment horizontal="center" vertical="center" wrapText="1"/>
    </xf>
    <xf numFmtId="2" fontId="15" fillId="20" borderId="36" xfId="0" applyNumberFormat="1" applyFont="1" applyFill="1" applyBorder="1" applyAlignment="1" applyProtection="1">
      <alignment horizontal="center"/>
      <protection hidden="1"/>
    </xf>
    <xf numFmtId="0" fontId="3" fillId="20" borderId="35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2" fontId="15" fillId="20" borderId="35" xfId="0" applyNumberFormat="1" applyFont="1" applyFill="1" applyBorder="1" applyAlignment="1" applyProtection="1">
      <alignment horizontal="center"/>
      <protection hidden="1"/>
    </xf>
    <xf numFmtId="2" fontId="39" fillId="23" borderId="0" xfId="0" applyNumberFormat="1" applyFont="1" applyFill="1" applyBorder="1" applyAlignment="1">
      <alignment horizontal="center" vertical="center"/>
    </xf>
    <xf numFmtId="0" fontId="0" fillId="14" borderId="0" xfId="0" applyFill="1" applyBorder="1"/>
    <xf numFmtId="0" fontId="0" fillId="13" borderId="47" xfId="0" applyFill="1" applyBorder="1"/>
    <xf numFmtId="0" fontId="4" fillId="13" borderId="27" xfId="0" applyFont="1" applyFill="1" applyBorder="1" applyAlignment="1">
      <alignment vertical="center"/>
    </xf>
    <xf numFmtId="0" fontId="21" fillId="7" borderId="0" xfId="0" applyFont="1" applyFill="1"/>
    <xf numFmtId="0" fontId="0" fillId="13" borderId="27" xfId="0" applyFill="1" applyBorder="1" applyAlignment="1">
      <alignment horizontal="center"/>
    </xf>
    <xf numFmtId="0" fontId="3" fillId="20" borderId="35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0" fontId="0" fillId="21" borderId="0" xfId="0" applyFill="1" applyBorder="1" applyAlignment="1">
      <alignment horizontal="center"/>
    </xf>
    <xf numFmtId="1" fontId="51" fillId="0" borderId="0" xfId="0" applyNumberFormat="1" applyFont="1" applyBorder="1" applyAlignment="1">
      <alignment horizontal="center" vertical="center" wrapText="1"/>
    </xf>
    <xf numFmtId="0" fontId="4" fillId="13" borderId="0" xfId="0" applyFont="1" applyFill="1" applyBorder="1" applyAlignment="1">
      <alignment vertical="center"/>
    </xf>
    <xf numFmtId="0" fontId="4" fillId="13" borderId="58" xfId="0" applyFont="1" applyFill="1" applyBorder="1" applyAlignment="1">
      <alignment vertical="center"/>
    </xf>
    <xf numFmtId="0" fontId="0" fillId="28" borderId="3" xfId="0" applyFill="1" applyBorder="1" applyAlignment="1"/>
    <xf numFmtId="0" fontId="0" fillId="28" borderId="4" xfId="0" applyFill="1" applyBorder="1" applyAlignment="1"/>
    <xf numFmtId="0" fontId="0" fillId="28" borderId="5" xfId="0" applyFill="1" applyBorder="1" applyAlignment="1"/>
    <xf numFmtId="0" fontId="0" fillId="28" borderId="9" xfId="0" applyFill="1" applyBorder="1" applyAlignment="1"/>
    <xf numFmtId="0" fontId="0" fillId="28" borderId="0" xfId="0" applyFill="1" applyBorder="1" applyAlignment="1"/>
    <xf numFmtId="0" fontId="0" fillId="28" borderId="10" xfId="0" applyFill="1" applyBorder="1" applyAlignment="1"/>
    <xf numFmtId="0" fontId="0" fillId="28" borderId="6" xfId="0" applyFill="1" applyBorder="1" applyAlignment="1"/>
    <xf numFmtId="0" fontId="0" fillId="28" borderId="7" xfId="0" applyFill="1" applyBorder="1" applyAlignment="1"/>
    <xf numFmtId="0" fontId="0" fillId="28" borderId="8" xfId="0" applyFill="1" applyBorder="1" applyAlignment="1"/>
    <xf numFmtId="1" fontId="21" fillId="0" borderId="0" xfId="0" applyNumberFormat="1" applyFont="1" applyBorder="1" applyAlignment="1">
      <alignment horizontal="center"/>
    </xf>
    <xf numFmtId="0" fontId="3" fillId="32" borderId="36" xfId="0" applyFont="1" applyFill="1" applyBorder="1" applyAlignment="1">
      <alignment horizontal="center" vertical="center" wrapText="1"/>
    </xf>
    <xf numFmtId="0" fontId="4" fillId="21" borderId="36" xfId="0" applyFont="1" applyFill="1" applyBorder="1" applyAlignment="1" applyProtection="1">
      <alignment vertical="center"/>
      <protection locked="0"/>
    </xf>
    <xf numFmtId="0" fontId="4" fillId="13" borderId="36" xfId="0" applyFont="1" applyFill="1" applyBorder="1" applyAlignment="1" applyProtection="1">
      <alignment vertical="center"/>
      <protection locked="0"/>
    </xf>
    <xf numFmtId="0" fontId="0" fillId="21" borderId="35" xfId="0" applyFill="1" applyBorder="1" applyAlignment="1" applyProtection="1">
      <alignment horizontal="center"/>
      <protection locked="0"/>
    </xf>
    <xf numFmtId="0" fontId="4" fillId="21" borderId="54" xfId="0" applyFont="1" applyFill="1" applyBorder="1" applyAlignment="1" applyProtection="1">
      <alignment vertical="center"/>
      <protection locked="0"/>
    </xf>
    <xf numFmtId="0" fontId="4" fillId="13" borderId="54" xfId="0" applyFont="1" applyFill="1" applyBorder="1" applyAlignment="1" applyProtection="1">
      <alignment vertical="center"/>
      <protection locked="0"/>
    </xf>
    <xf numFmtId="0" fontId="0" fillId="13" borderId="35" xfId="0" applyFill="1" applyBorder="1" applyAlignment="1" applyProtection="1">
      <alignment horizontal="center"/>
      <protection locked="0"/>
    </xf>
    <xf numFmtId="0" fontId="4" fillId="21" borderId="53" xfId="0" applyFont="1" applyFill="1" applyBorder="1" applyAlignment="1" applyProtection="1">
      <alignment vertical="center"/>
      <protection locked="0"/>
    </xf>
    <xf numFmtId="0" fontId="4" fillId="13" borderId="53" xfId="0" applyFont="1" applyFill="1" applyBorder="1" applyAlignment="1" applyProtection="1">
      <alignment vertical="center"/>
      <protection locked="0"/>
    </xf>
    <xf numFmtId="0" fontId="4" fillId="21" borderId="65" xfId="0" applyFont="1" applyFill="1" applyBorder="1" applyAlignment="1" applyProtection="1">
      <alignment vertical="center"/>
      <protection locked="0"/>
    </xf>
    <xf numFmtId="0" fontId="40" fillId="33" borderId="44" xfId="0" applyFont="1" applyFill="1" applyBorder="1" applyAlignment="1">
      <alignment horizontal="center" vertical="center"/>
    </xf>
    <xf numFmtId="0" fontId="40" fillId="33" borderId="43" xfId="0" applyFont="1" applyFill="1" applyBorder="1" applyAlignment="1">
      <alignment horizontal="center" vertical="center"/>
    </xf>
    <xf numFmtId="0" fontId="3" fillId="33" borderId="42" xfId="0" applyFont="1" applyFill="1" applyBorder="1" applyAlignment="1">
      <alignment horizontal="center" vertical="center"/>
    </xf>
    <xf numFmtId="0" fontId="4" fillId="13" borderId="66" xfId="0" applyFont="1" applyFill="1" applyBorder="1" applyAlignment="1">
      <alignment vertical="center"/>
    </xf>
    <xf numFmtId="0" fontId="4" fillId="13" borderId="67" xfId="0" applyFont="1" applyFill="1" applyBorder="1" applyAlignment="1" applyProtection="1">
      <alignment vertical="center"/>
      <protection locked="0"/>
    </xf>
    <xf numFmtId="0" fontId="4" fillId="21" borderId="67" xfId="0" applyFont="1" applyFill="1" applyBorder="1" applyAlignment="1" applyProtection="1">
      <alignment vertical="center"/>
      <protection locked="0"/>
    </xf>
    <xf numFmtId="0" fontId="0" fillId="13" borderId="68" xfId="0" applyFill="1" applyBorder="1" applyAlignment="1" applyProtection="1">
      <alignment horizontal="center"/>
      <protection locked="0"/>
    </xf>
    <xf numFmtId="0" fontId="4" fillId="13" borderId="69" xfId="0" applyFont="1" applyFill="1" applyBorder="1" applyAlignment="1" applyProtection="1">
      <alignment vertical="center"/>
      <protection locked="0"/>
    </xf>
    <xf numFmtId="0" fontId="53" fillId="21" borderId="36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Border="1" applyAlignment="1"/>
    <xf numFmtId="0" fontId="58" fillId="38" borderId="51" xfId="0" applyFont="1" applyFill="1" applyBorder="1" applyAlignment="1">
      <alignment horizontal="left" vertical="center"/>
    </xf>
    <xf numFmtId="0" fontId="58" fillId="38" borderId="36" xfId="0" applyFont="1" applyFill="1" applyBorder="1" applyAlignment="1">
      <alignment horizontal="left" vertical="center"/>
    </xf>
    <xf numFmtId="0" fontId="59" fillId="38" borderId="36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35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4" fillId="13" borderId="32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15" fillId="15" borderId="35" xfId="0" applyFont="1" applyFill="1" applyBorder="1" applyAlignment="1">
      <alignment vertical="center" wrapText="1"/>
    </xf>
    <xf numFmtId="9" fontId="25" fillId="9" borderId="35" xfId="0" applyNumberFormat="1" applyFont="1" applyFill="1" applyBorder="1" applyAlignment="1" applyProtection="1">
      <alignment horizontal="center" vertical="center"/>
      <protection locked="0"/>
    </xf>
    <xf numFmtId="0" fontId="25" fillId="9" borderId="36" xfId="0" applyFont="1" applyFill="1" applyBorder="1" applyAlignment="1" applyProtection="1">
      <alignment horizontal="center" vertical="center"/>
      <protection locked="0"/>
    </xf>
    <xf numFmtId="9" fontId="25" fillId="9" borderId="72" xfId="0" applyNumberFormat="1" applyFont="1" applyFill="1" applyBorder="1" applyAlignment="1" applyProtection="1">
      <alignment horizontal="center" vertical="center"/>
      <protection locked="0"/>
    </xf>
    <xf numFmtId="0" fontId="25" fillId="9" borderId="72" xfId="0" applyFont="1" applyFill="1" applyBorder="1" applyAlignment="1" applyProtection="1">
      <alignment horizontal="center" vertical="center"/>
      <protection locked="0"/>
    </xf>
    <xf numFmtId="0" fontId="0" fillId="28" borderId="0" xfId="0" applyFill="1" applyBorder="1"/>
    <xf numFmtId="0" fontId="6" fillId="30" borderId="36" xfId="0" applyFont="1" applyFill="1" applyBorder="1" applyAlignment="1">
      <alignment horizontal="center"/>
    </xf>
    <xf numFmtId="0" fontId="14" fillId="17" borderId="45" xfId="9" applyFont="1" applyBorder="1" applyAlignment="1" applyProtection="1">
      <alignment horizontal="center" vertical="center"/>
      <protection hidden="1"/>
    </xf>
    <xf numFmtId="0" fontId="4" fillId="9" borderId="0" xfId="0" applyFont="1" applyFill="1" applyBorder="1" applyAlignment="1">
      <alignment vertical="center"/>
    </xf>
    <xf numFmtId="0" fontId="6" fillId="37" borderId="36" xfId="0" applyFont="1" applyFill="1" applyBorder="1" applyAlignment="1">
      <alignment horizontal="center" vertical="center"/>
    </xf>
    <xf numFmtId="0" fontId="15" fillId="15" borderId="35" xfId="0" applyFont="1" applyFill="1" applyBorder="1" applyAlignment="1">
      <alignment horizontal="center" vertical="center" wrapText="1"/>
    </xf>
    <xf numFmtId="0" fontId="0" fillId="13" borderId="0" xfId="0" applyFill="1" applyBorder="1" applyAlignment="1" applyProtection="1">
      <alignment horizontal="center"/>
      <protection hidden="1"/>
    </xf>
    <xf numFmtId="0" fontId="14" fillId="35" borderId="36" xfId="0" applyFont="1" applyFill="1" applyBorder="1" applyAlignment="1" applyProtection="1">
      <alignment horizontal="center" vertical="center"/>
      <protection hidden="1"/>
    </xf>
    <xf numFmtId="0" fontId="40" fillId="33" borderId="73" xfId="0" applyFont="1" applyFill="1" applyBorder="1" applyAlignment="1">
      <alignment horizontal="center" vertical="center"/>
    </xf>
    <xf numFmtId="0" fontId="40" fillId="33" borderId="74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 vertical="center" wrapText="1"/>
    </xf>
    <xf numFmtId="2" fontId="39" fillId="23" borderId="36" xfId="0" applyNumberFormat="1" applyFont="1" applyFill="1" applyBorder="1" applyAlignment="1">
      <alignment horizontal="center" vertical="center"/>
    </xf>
    <xf numFmtId="0" fontId="3" fillId="20" borderId="35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2" fontId="39" fillId="23" borderId="52" xfId="0" applyNumberFormat="1" applyFont="1" applyFill="1" applyBorder="1" applyAlignment="1">
      <alignment horizontal="center" vertical="center"/>
    </xf>
    <xf numFmtId="2" fontId="39" fillId="23" borderId="53" xfId="0" applyNumberFormat="1" applyFont="1" applyFill="1" applyBorder="1" applyAlignment="1">
      <alignment horizontal="center" vertical="center"/>
    </xf>
    <xf numFmtId="0" fontId="62" fillId="19" borderId="36" xfId="0" applyFont="1" applyFill="1" applyBorder="1" applyAlignment="1">
      <alignment horizontal="center" vertical="center"/>
    </xf>
    <xf numFmtId="0" fontId="63" fillId="18" borderId="57" xfId="0" applyFont="1" applyFill="1" applyBorder="1" applyAlignment="1">
      <alignment vertical="center"/>
    </xf>
    <xf numFmtId="0" fontId="63" fillId="18" borderId="55" xfId="0" applyFont="1" applyFill="1" applyBorder="1" applyAlignment="1">
      <alignment vertical="center"/>
    </xf>
    <xf numFmtId="0" fontId="63" fillId="18" borderId="36" xfId="0" applyFont="1" applyFill="1" applyBorder="1" applyAlignment="1">
      <alignment horizontal="center" vertical="center"/>
    </xf>
    <xf numFmtId="2" fontId="39" fillId="23" borderId="57" xfId="0" applyNumberFormat="1" applyFont="1" applyFill="1" applyBorder="1" applyAlignment="1">
      <alignment vertical="center"/>
    </xf>
    <xf numFmtId="2" fontId="39" fillId="23" borderId="55" xfId="0" applyNumberFormat="1" applyFont="1" applyFill="1" applyBorder="1" applyAlignment="1">
      <alignment vertical="center"/>
    </xf>
    <xf numFmtId="1" fontId="36" fillId="26" borderId="36" xfId="0" applyNumberFormat="1" applyFont="1" applyFill="1" applyBorder="1" applyAlignment="1">
      <alignment horizontal="center" vertical="center" wrapText="1"/>
    </xf>
    <xf numFmtId="2" fontId="62" fillId="19" borderId="36" xfId="0" applyNumberFormat="1" applyFont="1" applyFill="1" applyBorder="1" applyAlignment="1">
      <alignment horizontal="center" vertical="center"/>
    </xf>
    <xf numFmtId="0" fontId="14" fillId="39" borderId="36" xfId="0" applyFont="1" applyFill="1" applyBorder="1" applyAlignment="1">
      <alignment horizontal="center" vertical="center"/>
    </xf>
    <xf numFmtId="2" fontId="14" fillId="39" borderId="33" xfId="0" applyNumberFormat="1" applyFont="1" applyFill="1" applyBorder="1" applyAlignment="1">
      <alignment horizontal="center"/>
    </xf>
    <xf numFmtId="0" fontId="63" fillId="18" borderId="36" xfId="0" applyFont="1" applyFill="1" applyBorder="1" applyAlignment="1">
      <alignment vertical="center"/>
    </xf>
    <xf numFmtId="1" fontId="67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63" fillId="18" borderId="36" xfId="0" applyFont="1" applyFill="1" applyBorder="1" applyAlignment="1">
      <alignment horizontal="center" vertical="center"/>
    </xf>
    <xf numFmtId="0" fontId="68" fillId="0" borderId="0" xfId="0" applyFont="1"/>
    <xf numFmtId="2" fontId="68" fillId="0" borderId="0" xfId="0" applyNumberFormat="1" applyFont="1"/>
    <xf numFmtId="0" fontId="69" fillId="7" borderId="0" xfId="0" applyFont="1" applyFill="1"/>
    <xf numFmtId="2" fontId="69" fillId="7" borderId="0" xfId="0" applyNumberFormat="1" applyFont="1" applyFill="1"/>
    <xf numFmtId="0" fontId="14" fillId="39" borderId="51" xfId="0" applyFont="1" applyFill="1" applyBorder="1" applyAlignment="1">
      <alignment horizontal="center" vertical="center"/>
    </xf>
    <xf numFmtId="2" fontId="14" fillId="39" borderId="60" xfId="0" applyNumberFormat="1" applyFont="1" applyFill="1" applyBorder="1" applyAlignment="1">
      <alignment horizontal="center"/>
    </xf>
    <xf numFmtId="0" fontId="0" fillId="13" borderId="0" xfId="0" applyFill="1" applyProtection="1">
      <protection hidden="1"/>
    </xf>
    <xf numFmtId="0" fontId="6" fillId="30" borderId="36" xfId="0" applyFont="1" applyFill="1" applyBorder="1" applyAlignment="1" applyProtection="1">
      <alignment horizontal="left" vertical="center" wrapText="1"/>
      <protection locked="0"/>
    </xf>
    <xf numFmtId="0" fontId="47" fillId="30" borderId="36" xfId="0" applyFont="1" applyFill="1" applyBorder="1" applyAlignment="1" applyProtection="1">
      <alignment horizontal="center" vertical="center" wrapText="1"/>
      <protection locked="0"/>
    </xf>
    <xf numFmtId="0" fontId="47" fillId="30" borderId="36" xfId="0" applyFont="1" applyFill="1" applyBorder="1" applyAlignment="1" applyProtection="1">
      <alignment horizontal="left" vertical="center" wrapText="1"/>
      <protection locked="0"/>
    </xf>
    <xf numFmtId="0" fontId="47" fillId="30" borderId="36" xfId="0" applyFont="1" applyFill="1" applyBorder="1" applyProtection="1">
      <protection locked="0"/>
    </xf>
    <xf numFmtId="0" fontId="6" fillId="30" borderId="36" xfId="0" applyFont="1" applyFill="1" applyBorder="1" applyProtection="1">
      <protection locked="0"/>
    </xf>
    <xf numFmtId="0" fontId="56" fillId="39" borderId="36" xfId="0" applyFont="1" applyFill="1" applyBorder="1" applyAlignment="1" applyProtection="1">
      <alignment horizontal="center" vertical="center"/>
      <protection locked="0"/>
    </xf>
    <xf numFmtId="0" fontId="50" fillId="39" borderId="36" xfId="0" applyFont="1" applyFill="1" applyBorder="1" applyAlignment="1" applyProtection="1">
      <alignment horizontal="center" vertical="center"/>
      <protection locked="0"/>
    </xf>
    <xf numFmtId="0" fontId="60" fillId="39" borderId="36" xfId="0" applyFont="1" applyFill="1" applyBorder="1" applyAlignment="1" applyProtection="1">
      <alignment horizontal="center" vertical="center"/>
      <protection locked="0"/>
    </xf>
    <xf numFmtId="0" fontId="50" fillId="39" borderId="36" xfId="0" applyFont="1" applyFill="1" applyBorder="1" applyAlignment="1" applyProtection="1">
      <alignment horizontal="center" vertical="center"/>
      <protection hidden="1"/>
    </xf>
    <xf numFmtId="0" fontId="53" fillId="21" borderId="53" xfId="0" applyFont="1" applyFill="1" applyBorder="1" applyAlignment="1" applyProtection="1">
      <alignment horizontal="center" vertical="center" wrapText="1"/>
      <protection locked="0"/>
    </xf>
    <xf numFmtId="0" fontId="16" fillId="21" borderId="53" xfId="0" applyFont="1" applyFill="1" applyBorder="1" applyAlignment="1" applyProtection="1">
      <alignment horizontal="center" vertical="center" wrapText="1"/>
      <protection locked="0"/>
    </xf>
    <xf numFmtId="0" fontId="16" fillId="21" borderId="36" xfId="0" applyFont="1" applyFill="1" applyBorder="1" applyAlignment="1" applyProtection="1">
      <alignment horizontal="center" vertical="center" wrapText="1"/>
      <protection locked="0"/>
    </xf>
    <xf numFmtId="0" fontId="53" fillId="21" borderId="54" xfId="0" applyFont="1" applyFill="1" applyBorder="1" applyAlignment="1" applyProtection="1">
      <alignment horizontal="center" vertical="center" wrapText="1"/>
      <protection locked="0"/>
    </xf>
    <xf numFmtId="2" fontId="62" fillId="41" borderId="36" xfId="0" applyNumberFormat="1" applyFont="1" applyFill="1" applyBorder="1" applyAlignment="1">
      <alignment horizontal="center" vertical="center"/>
    </xf>
    <xf numFmtId="0" fontId="71" fillId="14" borderId="0" xfId="0" applyFont="1" applyFill="1" applyBorder="1"/>
    <xf numFmtId="0" fontId="71" fillId="14" borderId="0" xfId="0" applyFont="1" applyFill="1" applyBorder="1" applyAlignment="1">
      <alignment horizontal="center"/>
    </xf>
    <xf numFmtId="0" fontId="71" fillId="28" borderId="0" xfId="0" applyFont="1" applyFill="1" applyBorder="1"/>
    <xf numFmtId="0" fontId="72" fillId="14" borderId="0" xfId="9" applyFont="1" applyFill="1" applyBorder="1" applyAlignment="1">
      <alignment horizontal="center" vertical="center"/>
    </xf>
    <xf numFmtId="0" fontId="71" fillId="14" borderId="0" xfId="0" quotePrefix="1" applyFont="1" applyFill="1" applyBorder="1"/>
    <xf numFmtId="0" fontId="71" fillId="14" borderId="0" xfId="0" applyFont="1" applyFill="1" applyBorder="1" applyAlignment="1">
      <alignment vertical="center"/>
    </xf>
    <xf numFmtId="9" fontId="30" fillId="11" borderId="45" xfId="6" applyNumberFormat="1" applyFont="1" applyBorder="1" applyAlignment="1" applyProtection="1">
      <alignment horizontal="center" vertical="center"/>
      <protection locked="0"/>
    </xf>
    <xf numFmtId="0" fontId="71" fillId="14" borderId="36" xfId="0" applyFont="1" applyFill="1" applyBorder="1" applyAlignment="1">
      <alignment horizontal="center"/>
    </xf>
    <xf numFmtId="0" fontId="71" fillId="14" borderId="0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6" fillId="42" borderId="53" xfId="0" applyFont="1" applyFill="1" applyBorder="1" applyAlignment="1" applyProtection="1">
      <alignment horizontal="center" vertical="center" wrapText="1"/>
      <protection locked="0"/>
    </xf>
    <xf numFmtId="0" fontId="16" fillId="42" borderId="36" xfId="0" applyFont="1" applyFill="1" applyBorder="1" applyAlignment="1" applyProtection="1">
      <alignment horizontal="center" vertical="center" wrapText="1"/>
      <protection locked="0"/>
    </xf>
    <xf numFmtId="0" fontId="53" fillId="43" borderId="36" xfId="0" applyFont="1" applyFill="1" applyBorder="1" applyAlignment="1" applyProtection="1">
      <alignment horizontal="center" vertical="center" wrapText="1"/>
      <protection locked="0"/>
    </xf>
    <xf numFmtId="1" fontId="73" fillId="0" borderId="0" xfId="12" applyNumberFormat="1" applyFont="1" applyBorder="1" applyAlignment="1">
      <alignment horizontal="center" vertical="center" wrapText="1"/>
    </xf>
    <xf numFmtId="1" fontId="44" fillId="0" borderId="36" xfId="12" applyNumberFormat="1" applyFont="1" applyBorder="1" applyAlignment="1">
      <alignment horizontal="center" vertical="center" wrapText="1"/>
    </xf>
    <xf numFmtId="1" fontId="44" fillId="0" borderId="36" xfId="12" applyNumberFormat="1" applyFont="1" applyBorder="1" applyAlignment="1">
      <alignment horizontal="left" vertical="center" wrapText="1"/>
    </xf>
    <xf numFmtId="164" fontId="42" fillId="0" borderId="36" xfId="12" applyNumberFormat="1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1" fontId="4" fillId="0" borderId="36" xfId="0" applyNumberFormat="1" applyFont="1" applyFill="1" applyBorder="1" applyAlignment="1" applyProtection="1">
      <alignment horizontal="left" vertical="center" wrapText="1"/>
      <protection hidden="1"/>
    </xf>
    <xf numFmtId="2" fontId="14" fillId="0" borderId="36" xfId="0" quotePrefix="1" applyNumberFormat="1" applyFont="1" applyFill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2" fontId="45" fillId="0" borderId="36" xfId="12" applyNumberFormat="1" applyFont="1" applyBorder="1" applyAlignment="1">
      <alignment horizontal="center" vertical="center" wrapText="1"/>
    </xf>
    <xf numFmtId="2" fontId="28" fillId="0" borderId="36" xfId="0" applyNumberFormat="1" applyFont="1" applyBorder="1" applyAlignment="1">
      <alignment horizontal="center" vertical="center" wrapText="1"/>
    </xf>
    <xf numFmtId="164" fontId="14" fillId="0" borderId="36" xfId="0" applyNumberFormat="1" applyFont="1" applyFill="1" applyBorder="1" applyAlignment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  <protection hidden="1"/>
    </xf>
    <xf numFmtId="1" fontId="33" fillId="0" borderId="36" xfId="0" applyNumberFormat="1" applyFont="1" applyBorder="1" applyAlignment="1">
      <alignment horizontal="center" vertical="center" wrapText="1"/>
    </xf>
    <xf numFmtId="2" fontId="14" fillId="0" borderId="36" xfId="0" applyNumberFormat="1" applyFont="1" applyBorder="1" applyAlignment="1">
      <alignment horizontal="center" vertical="center" wrapText="1"/>
    </xf>
    <xf numFmtId="1" fontId="14" fillId="0" borderId="57" xfId="0" applyNumberFormat="1" applyFont="1" applyBorder="1" applyAlignment="1">
      <alignment horizontal="center" vertical="center" wrapText="1"/>
    </xf>
    <xf numFmtId="9" fontId="14" fillId="0" borderId="53" xfId="0" applyNumberFormat="1" applyFont="1" applyBorder="1" applyAlignment="1">
      <alignment horizontal="center" vertical="center" wrapText="1"/>
    </xf>
    <xf numFmtId="1" fontId="33" fillId="0" borderId="57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9" fontId="4" fillId="0" borderId="36" xfId="0" applyNumberFormat="1" applyFont="1" applyBorder="1" applyAlignment="1">
      <alignment horizontal="center" vertical="center" wrapText="1"/>
    </xf>
    <xf numFmtId="1" fontId="29" fillId="0" borderId="36" xfId="0" applyNumberFormat="1" applyFont="1" applyBorder="1" applyAlignment="1">
      <alignment horizontal="center" vertical="center" wrapText="1"/>
    </xf>
    <xf numFmtId="1" fontId="12" fillId="0" borderId="3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left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" fontId="14" fillId="0" borderId="36" xfId="0" applyNumberFormat="1" applyFont="1" applyFill="1" applyBorder="1" applyAlignment="1">
      <alignment horizontal="center" vertical="center" wrapText="1"/>
    </xf>
    <xf numFmtId="1" fontId="42" fillId="0" borderId="36" xfId="12" applyNumberFormat="1" applyFont="1" applyBorder="1" applyAlignment="1">
      <alignment horizontal="center" vertical="center" wrapText="1"/>
    </xf>
    <xf numFmtId="1" fontId="14" fillId="0" borderId="36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2" fontId="14" fillId="0" borderId="36" xfId="0" applyNumberFormat="1" applyFont="1" applyFill="1" applyBorder="1" applyAlignment="1">
      <alignment horizontal="center" vertical="center" wrapText="1"/>
    </xf>
    <xf numFmtId="9" fontId="42" fillId="0" borderId="36" xfId="12" applyNumberFormat="1" applyFont="1" applyBorder="1" applyAlignment="1">
      <alignment horizontal="center" vertical="center" wrapText="1"/>
    </xf>
    <xf numFmtId="9" fontId="14" fillId="0" borderId="36" xfId="0" applyNumberFormat="1" applyFont="1" applyBorder="1" applyAlignment="1">
      <alignment horizontal="center" vertical="center" wrapText="1"/>
    </xf>
    <xf numFmtId="9" fontId="14" fillId="0" borderId="36" xfId="0" applyNumberFormat="1" applyFont="1" applyFill="1" applyBorder="1" applyAlignment="1">
      <alignment horizontal="center" vertical="center" wrapText="1"/>
    </xf>
    <xf numFmtId="1" fontId="14" fillId="0" borderId="36" xfId="0" applyNumberFormat="1" applyFont="1" applyFill="1" applyBorder="1" applyAlignment="1" applyProtection="1">
      <alignment horizontal="center" vertical="center" wrapText="1"/>
      <protection hidden="1"/>
    </xf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left" vertical="center" wrapText="1"/>
    </xf>
    <xf numFmtId="1" fontId="29" fillId="0" borderId="36" xfId="12" applyNumberFormat="1" applyFont="1" applyBorder="1" applyAlignment="1">
      <alignment horizontal="center" vertical="center" wrapText="1"/>
    </xf>
    <xf numFmtId="0" fontId="6" fillId="30" borderId="36" xfId="0" applyFont="1" applyFill="1" applyBorder="1" applyAlignment="1" applyProtection="1">
      <alignment horizontal="center"/>
      <protection locked="0"/>
    </xf>
    <xf numFmtId="0" fontId="53" fillId="21" borderId="57" xfId="0" applyFont="1" applyFill="1" applyBorder="1" applyAlignment="1" applyProtection="1">
      <alignment horizontal="center" vertical="center" wrapText="1"/>
      <protection locked="0"/>
    </xf>
    <xf numFmtId="0" fontId="53" fillId="43" borderId="53" xfId="0" applyFont="1" applyFill="1" applyBorder="1" applyAlignment="1" applyProtection="1">
      <alignment horizontal="center" vertical="center" wrapText="1"/>
      <protection locked="0"/>
    </xf>
    <xf numFmtId="0" fontId="53" fillId="44" borderId="36" xfId="0" applyFont="1" applyFill="1" applyBorder="1" applyAlignment="1" applyProtection="1">
      <alignment horizontal="center" vertical="center" wrapText="1"/>
      <protection locked="0"/>
    </xf>
    <xf numFmtId="0" fontId="53" fillId="44" borderId="53" xfId="0" applyFont="1" applyFill="1" applyBorder="1" applyAlignment="1" applyProtection="1">
      <alignment horizontal="center" vertical="center" wrapText="1"/>
      <protection locked="0"/>
    </xf>
    <xf numFmtId="0" fontId="16" fillId="42" borderId="35" xfId="0" applyFont="1" applyFill="1" applyBorder="1" applyAlignment="1" applyProtection="1">
      <alignment horizontal="center" vertical="center" wrapText="1"/>
      <protection locked="0"/>
    </xf>
    <xf numFmtId="1" fontId="29" fillId="0" borderId="0" xfId="12" applyNumberFormat="1" applyFont="1" applyBorder="1" applyAlignment="1">
      <alignment horizontal="center" vertical="center" wrapText="1"/>
    </xf>
    <xf numFmtId="1" fontId="14" fillId="0" borderId="53" xfId="0" applyNumberFormat="1" applyFont="1" applyFill="1" applyBorder="1" applyAlignment="1">
      <alignment horizontal="center" vertical="center" wrapText="1"/>
    </xf>
    <xf numFmtId="9" fontId="4" fillId="0" borderId="53" xfId="0" applyNumberFormat="1" applyFont="1" applyBorder="1" applyAlignment="1">
      <alignment horizontal="center" vertical="center" wrapText="1"/>
    </xf>
    <xf numFmtId="1" fontId="4" fillId="0" borderId="53" xfId="0" applyNumberFormat="1" applyFont="1" applyBorder="1" applyAlignment="1">
      <alignment horizontal="center" vertical="center" wrapText="1"/>
    </xf>
    <xf numFmtId="1" fontId="4" fillId="0" borderId="53" xfId="0" applyNumberFormat="1" applyFont="1" applyBorder="1" applyAlignment="1">
      <alignment horizontal="left" vertical="center" wrapText="1"/>
    </xf>
    <xf numFmtId="1" fontId="44" fillId="0" borderId="53" xfId="12" applyNumberFormat="1" applyFont="1" applyBorder="1" applyAlignment="1">
      <alignment horizontal="center" vertical="center" wrapText="1"/>
    </xf>
    <xf numFmtId="9" fontId="42" fillId="0" borderId="36" xfId="12" applyNumberFormat="1" applyFont="1" applyBorder="1" applyAlignment="1">
      <alignment horizontal="center" vertical="center" wrapText="1"/>
    </xf>
    <xf numFmtId="9" fontId="14" fillId="0" borderId="36" xfId="0" applyNumberFormat="1" applyFont="1" applyBorder="1" applyAlignment="1">
      <alignment horizontal="center" vertical="center" wrapText="1"/>
    </xf>
    <xf numFmtId="1" fontId="14" fillId="0" borderId="36" xfId="0" applyNumberFormat="1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" fontId="14" fillId="0" borderId="36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left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53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" fontId="14" fillId="0" borderId="51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8" fillId="38" borderId="36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39" borderId="36" xfId="0" applyFill="1" applyBorder="1" applyAlignment="1" applyProtection="1">
      <alignment horizontal="justify" vertical="center" wrapText="1"/>
      <protection locked="0"/>
    </xf>
    <xf numFmtId="0" fontId="6" fillId="37" borderId="36" xfId="0" applyFont="1" applyFill="1" applyBorder="1" applyAlignment="1" applyProtection="1">
      <alignment horizontal="center" vertical="center"/>
      <protection hidden="1"/>
    </xf>
    <xf numFmtId="0" fontId="21" fillId="39" borderId="36" xfId="0" applyFont="1" applyFill="1" applyBorder="1" applyAlignment="1" applyProtection="1">
      <alignment horizontal="justify" vertical="center" wrapText="1"/>
      <protection locked="0"/>
    </xf>
    <xf numFmtId="0" fontId="18" fillId="28" borderId="0" xfId="0" applyFont="1" applyFill="1" applyBorder="1" applyAlignment="1">
      <alignment horizontal="center" vertical="center" wrapText="1"/>
    </xf>
    <xf numFmtId="0" fontId="57" fillId="39" borderId="36" xfId="0" applyFont="1" applyFill="1" applyBorder="1" applyAlignment="1" applyProtection="1">
      <alignment horizontal="left"/>
      <protection locked="0"/>
    </xf>
    <xf numFmtId="0" fontId="50" fillId="9" borderId="0" xfId="0" applyFont="1" applyFill="1" applyBorder="1" applyAlignment="1">
      <alignment horizontal="center" vertical="center"/>
    </xf>
    <xf numFmtId="0" fontId="57" fillId="39" borderId="35" xfId="0" applyFont="1" applyFill="1" applyBorder="1" applyAlignment="1" applyProtection="1">
      <alignment horizontal="left" vertical="center"/>
      <protection locked="0"/>
    </xf>
    <xf numFmtId="0" fontId="57" fillId="39" borderId="34" xfId="0" applyFont="1" applyFill="1" applyBorder="1" applyAlignment="1" applyProtection="1">
      <alignment horizontal="left" vertical="center"/>
      <protection locked="0"/>
    </xf>
    <xf numFmtId="0" fontId="57" fillId="39" borderId="33" xfId="0" applyFont="1" applyFill="1" applyBorder="1" applyAlignment="1" applyProtection="1">
      <alignment horizontal="left" vertical="center"/>
      <protection locked="0"/>
    </xf>
    <xf numFmtId="0" fontId="48" fillId="9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/>
    </xf>
    <xf numFmtId="0" fontId="71" fillId="14" borderId="35" xfId="0" applyFont="1" applyFill="1" applyBorder="1" applyAlignment="1">
      <alignment horizontal="center" vertical="center"/>
    </xf>
    <xf numFmtId="0" fontId="71" fillId="14" borderId="33" xfId="0" applyFont="1" applyFill="1" applyBorder="1" applyAlignment="1">
      <alignment horizontal="center" vertical="center"/>
    </xf>
    <xf numFmtId="0" fontId="6" fillId="37" borderId="35" xfId="0" applyFont="1" applyFill="1" applyBorder="1" applyAlignment="1">
      <alignment horizontal="center" vertical="center"/>
    </xf>
    <xf numFmtId="0" fontId="6" fillId="37" borderId="34" xfId="0" applyFont="1" applyFill="1" applyBorder="1" applyAlignment="1">
      <alignment horizontal="center" vertical="center"/>
    </xf>
    <xf numFmtId="0" fontId="6" fillId="37" borderId="33" xfId="0" applyFont="1" applyFill="1" applyBorder="1" applyAlignment="1">
      <alignment horizontal="center" vertical="center"/>
    </xf>
    <xf numFmtId="0" fontId="55" fillId="39" borderId="36" xfId="0" applyFont="1" applyFill="1" applyBorder="1" applyAlignment="1" applyProtection="1">
      <alignment horizontal="left" vertical="center"/>
      <protection locked="0"/>
    </xf>
    <xf numFmtId="0" fontId="57" fillId="39" borderId="59" xfId="0" applyFont="1" applyFill="1" applyBorder="1" applyAlignment="1" applyProtection="1">
      <alignment horizontal="left" vertical="center"/>
      <protection locked="0"/>
    </xf>
    <xf numFmtId="0" fontId="57" fillId="39" borderId="64" xfId="0" applyFont="1" applyFill="1" applyBorder="1" applyAlignment="1" applyProtection="1">
      <alignment horizontal="left" vertical="center"/>
      <protection locked="0"/>
    </xf>
    <xf numFmtId="0" fontId="57" fillId="39" borderId="60" xfId="0" applyFont="1" applyFill="1" applyBorder="1" applyAlignment="1" applyProtection="1">
      <alignment horizontal="left" vertical="center"/>
      <protection locked="0"/>
    </xf>
    <xf numFmtId="0" fontId="16" fillId="22" borderId="35" xfId="0" applyFont="1" applyFill="1" applyBorder="1" applyAlignment="1">
      <alignment horizontal="center" vertical="center"/>
    </xf>
    <xf numFmtId="0" fontId="16" fillId="22" borderId="34" xfId="0" applyFont="1" applyFill="1" applyBorder="1" applyAlignment="1">
      <alignment horizontal="center" vertical="center"/>
    </xf>
    <xf numFmtId="0" fontId="16" fillId="22" borderId="33" xfId="0" applyFont="1" applyFill="1" applyBorder="1" applyAlignment="1">
      <alignment horizontal="center" vertical="center"/>
    </xf>
    <xf numFmtId="0" fontId="12" fillId="14" borderId="30" xfId="0" applyFont="1" applyFill="1" applyBorder="1" applyAlignment="1" applyProtection="1">
      <alignment horizontal="left" vertical="center"/>
      <protection hidden="1"/>
    </xf>
    <xf numFmtId="0" fontId="12" fillId="14" borderId="29" xfId="0" applyFont="1" applyFill="1" applyBorder="1" applyAlignment="1" applyProtection="1">
      <alignment horizontal="left" vertical="center"/>
      <protection hidden="1"/>
    </xf>
    <xf numFmtId="0" fontId="12" fillId="14" borderId="28" xfId="0" applyFont="1" applyFill="1" applyBorder="1" applyAlignment="1" applyProtection="1">
      <alignment horizontal="left" vertical="center"/>
      <protection hidden="1"/>
    </xf>
    <xf numFmtId="0" fontId="30" fillId="34" borderId="6" xfId="0" applyFont="1" applyFill="1" applyBorder="1" applyAlignment="1" applyProtection="1">
      <alignment horizontal="right" vertical="center"/>
      <protection hidden="1"/>
    </xf>
    <xf numFmtId="0" fontId="30" fillId="34" borderId="7" xfId="0" applyFont="1" applyFill="1" applyBorder="1" applyAlignment="1" applyProtection="1">
      <alignment horizontal="right" vertical="center"/>
      <protection hidden="1"/>
    </xf>
    <xf numFmtId="0" fontId="8" fillId="20" borderId="36" xfId="0" applyFont="1" applyFill="1" applyBorder="1" applyAlignment="1">
      <alignment horizontal="center" vertical="center"/>
    </xf>
    <xf numFmtId="0" fontId="18" fillId="28" borderId="26" xfId="0" applyFont="1" applyFill="1" applyBorder="1" applyAlignment="1">
      <alignment horizontal="center" vertical="center" wrapText="1"/>
    </xf>
    <xf numFmtId="0" fontId="18" fillId="28" borderId="25" xfId="0" applyFont="1" applyFill="1" applyBorder="1" applyAlignment="1">
      <alignment horizontal="center" vertical="center" wrapText="1"/>
    </xf>
    <xf numFmtId="0" fontId="18" fillId="28" borderId="24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4" fillId="13" borderId="62" xfId="0" applyFont="1" applyFill="1" applyBorder="1" applyAlignment="1">
      <alignment horizontal="center" vertical="center"/>
    </xf>
    <xf numFmtId="0" fontId="4" fillId="4" borderId="45" xfId="3" applyFont="1" applyBorder="1" applyAlignment="1">
      <alignment horizontal="left" vertical="center"/>
    </xf>
    <xf numFmtId="0" fontId="4" fillId="17" borderId="48" xfId="9" applyFont="1" applyBorder="1" applyAlignment="1" applyProtection="1">
      <alignment horizontal="left" vertical="center"/>
      <protection hidden="1"/>
    </xf>
    <xf numFmtId="0" fontId="4" fillId="17" borderId="46" xfId="9" applyFont="1" applyBorder="1" applyAlignment="1" applyProtection="1">
      <alignment horizontal="left" vertical="center"/>
      <protection hidden="1"/>
    </xf>
    <xf numFmtId="0" fontId="8" fillId="15" borderId="44" xfId="0" applyFont="1" applyFill="1" applyBorder="1" applyAlignment="1">
      <alignment horizontal="center"/>
    </xf>
    <xf numFmtId="0" fontId="8" fillId="15" borderId="43" xfId="0" applyFont="1" applyFill="1" applyBorder="1" applyAlignment="1">
      <alignment horizontal="center"/>
    </xf>
    <xf numFmtId="0" fontId="8" fillId="15" borderId="42" xfId="0" applyFont="1" applyFill="1" applyBorder="1" applyAlignment="1">
      <alignment horizontal="center"/>
    </xf>
    <xf numFmtId="0" fontId="16" fillId="35" borderId="36" xfId="0" applyFont="1" applyFill="1" applyBorder="1" applyAlignment="1">
      <alignment horizontal="center" vertical="center"/>
    </xf>
    <xf numFmtId="0" fontId="16" fillId="35" borderId="53" xfId="0" applyFont="1" applyFill="1" applyBorder="1" applyAlignment="1">
      <alignment horizontal="center" vertical="center"/>
    </xf>
    <xf numFmtId="0" fontId="40" fillId="12" borderId="44" xfId="7" applyFont="1" applyBorder="1" applyAlignment="1">
      <alignment horizontal="center" vertical="center" wrapText="1"/>
    </xf>
    <xf numFmtId="0" fontId="40" fillId="12" borderId="43" xfId="7" applyFont="1" applyBorder="1" applyAlignment="1">
      <alignment horizontal="center" vertical="center"/>
    </xf>
    <xf numFmtId="0" fontId="40" fillId="12" borderId="42" xfId="7" applyFont="1" applyBorder="1" applyAlignment="1">
      <alignment horizontal="center" vertical="center"/>
    </xf>
    <xf numFmtId="0" fontId="4" fillId="17" borderId="45" xfId="9" applyFont="1" applyBorder="1" applyAlignment="1" applyProtection="1">
      <alignment horizontal="left" vertical="center"/>
      <protection hidden="1"/>
    </xf>
    <xf numFmtId="0" fontId="19" fillId="11" borderId="47" xfId="6" applyFont="1" applyBorder="1" applyAlignment="1" applyProtection="1">
      <alignment horizontal="left" vertical="center"/>
      <protection locked="0"/>
    </xf>
    <xf numFmtId="0" fontId="15" fillId="12" borderId="48" xfId="7" applyFont="1" applyBorder="1" applyAlignment="1">
      <alignment horizontal="center" vertical="center"/>
    </xf>
    <xf numFmtId="0" fontId="15" fillId="12" borderId="47" xfId="7" applyFont="1" applyBorder="1" applyAlignment="1">
      <alignment horizontal="center" vertical="center"/>
    </xf>
    <xf numFmtId="0" fontId="15" fillId="12" borderId="63" xfId="7" applyFont="1" applyBorder="1" applyAlignment="1">
      <alignment horizontal="center" vertical="center"/>
    </xf>
    <xf numFmtId="0" fontId="50" fillId="4" borderId="48" xfId="3" applyFont="1" applyBorder="1" applyAlignment="1">
      <alignment horizontal="center" vertical="center"/>
    </xf>
    <xf numFmtId="0" fontId="50" fillId="4" borderId="47" xfId="3" applyFont="1" applyBorder="1" applyAlignment="1">
      <alignment horizontal="center" vertical="center"/>
    </xf>
    <xf numFmtId="0" fontId="50" fillId="4" borderId="46" xfId="3" applyFont="1" applyBorder="1" applyAlignment="1">
      <alignment horizontal="center" vertical="center"/>
    </xf>
    <xf numFmtId="0" fontId="4" fillId="17" borderId="45" xfId="9" applyFont="1" applyBorder="1" applyAlignment="1" applyProtection="1">
      <alignment horizontal="center" vertical="center"/>
      <protection hidden="1"/>
    </xf>
    <xf numFmtId="0" fontId="50" fillId="31" borderId="48" xfId="0" applyFont="1" applyFill="1" applyBorder="1" applyAlignment="1" applyProtection="1">
      <alignment horizontal="center" vertical="center"/>
      <protection hidden="1"/>
    </xf>
    <xf numFmtId="0" fontId="50" fillId="31" borderId="46" xfId="0" applyFont="1" applyFill="1" applyBorder="1" applyAlignment="1" applyProtection="1">
      <alignment horizontal="center" vertical="center"/>
      <protection hidden="1"/>
    </xf>
    <xf numFmtId="0" fontId="52" fillId="31" borderId="48" xfId="0" applyFont="1" applyFill="1" applyBorder="1" applyAlignment="1" applyProtection="1">
      <alignment horizontal="center" vertical="center"/>
      <protection hidden="1"/>
    </xf>
    <xf numFmtId="0" fontId="52" fillId="31" borderId="46" xfId="0" applyFont="1" applyFill="1" applyBorder="1" applyAlignment="1" applyProtection="1">
      <alignment horizontal="center" vertical="center"/>
      <protection hidden="1"/>
    </xf>
    <xf numFmtId="0" fontId="6" fillId="9" borderId="39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24" fillId="14" borderId="30" xfId="0" applyFont="1" applyFill="1" applyBorder="1" applyAlignment="1" applyProtection="1">
      <alignment horizontal="left" vertical="center"/>
      <protection hidden="1"/>
    </xf>
    <xf numFmtId="0" fontId="24" fillId="14" borderId="29" xfId="0" applyFont="1" applyFill="1" applyBorder="1" applyAlignment="1" applyProtection="1">
      <alignment horizontal="left" vertical="center"/>
      <protection hidden="1"/>
    </xf>
    <xf numFmtId="0" fontId="24" fillId="14" borderId="28" xfId="0" applyFont="1" applyFill="1" applyBorder="1" applyAlignment="1" applyProtection="1">
      <alignment horizontal="left" vertical="center"/>
      <protection hidden="1"/>
    </xf>
    <xf numFmtId="0" fontId="15" fillId="15" borderId="35" xfId="0" applyFont="1" applyFill="1" applyBorder="1" applyAlignment="1">
      <alignment horizontal="center" vertical="center"/>
    </xf>
    <xf numFmtId="0" fontId="15" fillId="15" borderId="34" xfId="0" applyFont="1" applyFill="1" applyBorder="1" applyAlignment="1">
      <alignment horizontal="center" vertical="center"/>
    </xf>
    <xf numFmtId="0" fontId="15" fillId="15" borderId="33" xfId="0" applyFont="1" applyFill="1" applyBorder="1" applyAlignment="1">
      <alignment horizontal="center" vertical="center"/>
    </xf>
    <xf numFmtId="0" fontId="61" fillId="9" borderId="59" xfId="0" applyFont="1" applyFill="1" applyBorder="1" applyAlignment="1" applyProtection="1">
      <alignment horizontal="justify" vertical="center"/>
      <protection hidden="1"/>
    </xf>
    <xf numFmtId="0" fontId="61" fillId="9" borderId="64" xfId="0" applyFont="1" applyFill="1" applyBorder="1" applyAlignment="1" applyProtection="1">
      <alignment horizontal="justify" vertical="center"/>
      <protection hidden="1"/>
    </xf>
    <xf numFmtId="0" fontId="61" fillId="9" borderId="60" xfId="0" applyFont="1" applyFill="1" applyBorder="1" applyAlignment="1" applyProtection="1">
      <alignment horizontal="justify" vertical="center"/>
      <protection hidden="1"/>
    </xf>
    <xf numFmtId="0" fontId="30" fillId="34" borderId="3" xfId="0" applyFont="1" applyFill="1" applyBorder="1" applyAlignment="1" applyProtection="1">
      <alignment horizontal="right" vertical="center"/>
      <protection hidden="1"/>
    </xf>
    <xf numFmtId="0" fontId="30" fillId="34" borderId="4" xfId="0" applyFont="1" applyFill="1" applyBorder="1" applyAlignment="1" applyProtection="1">
      <alignment horizontal="right" vertical="center"/>
      <protection hidden="1"/>
    </xf>
    <xf numFmtId="0" fontId="30" fillId="34" borderId="9" xfId="0" applyFont="1" applyFill="1" applyBorder="1" applyAlignment="1" applyProtection="1">
      <alignment horizontal="right" vertical="center"/>
      <protection hidden="1"/>
    </xf>
    <xf numFmtId="0" fontId="30" fillId="34" borderId="0" xfId="0" applyFont="1" applyFill="1" applyBorder="1" applyAlignment="1" applyProtection="1">
      <alignment horizontal="right" vertical="center"/>
      <protection hidden="1"/>
    </xf>
    <xf numFmtId="0" fontId="0" fillId="34" borderId="4" xfId="0" applyFill="1" applyBorder="1" applyAlignment="1">
      <alignment horizontal="center"/>
    </xf>
    <xf numFmtId="0" fontId="0" fillId="34" borderId="5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7" xfId="0" applyFill="1" applyBorder="1" applyAlignment="1">
      <alignment horizontal="center"/>
    </xf>
    <xf numFmtId="0" fontId="0" fillId="34" borderId="8" xfId="0" applyFill="1" applyBorder="1" applyAlignment="1">
      <alignment horizontal="center"/>
    </xf>
    <xf numFmtId="0" fontId="61" fillId="9" borderId="36" xfId="0" applyFont="1" applyFill="1" applyBorder="1" applyAlignment="1" applyProtection="1">
      <alignment horizontal="justify" vertical="center"/>
      <protection hidden="1"/>
    </xf>
    <xf numFmtId="0" fontId="30" fillId="36" borderId="70" xfId="0" applyFont="1" applyFill="1" applyBorder="1" applyAlignment="1">
      <alignment horizontal="center" vertical="center"/>
    </xf>
    <xf numFmtId="0" fontId="30" fillId="36" borderId="52" xfId="0" applyFont="1" applyFill="1" applyBorder="1" applyAlignment="1">
      <alignment horizontal="center" vertical="center"/>
    </xf>
    <xf numFmtId="0" fontId="30" fillId="36" borderId="71" xfId="0" applyFont="1" applyFill="1" applyBorder="1" applyAlignment="1">
      <alignment horizontal="center" vertical="center"/>
    </xf>
    <xf numFmtId="0" fontId="4" fillId="13" borderId="25" xfId="0" applyFont="1" applyFill="1" applyBorder="1" applyAlignment="1">
      <alignment horizontal="center" vertical="center"/>
    </xf>
    <xf numFmtId="0" fontId="4" fillId="13" borderId="24" xfId="0" applyFont="1" applyFill="1" applyBorder="1" applyAlignment="1">
      <alignment horizontal="center" vertical="center"/>
    </xf>
    <xf numFmtId="0" fontId="0" fillId="13" borderId="27" xfId="0" applyFill="1" applyBorder="1" applyAlignment="1">
      <alignment horizontal="center"/>
    </xf>
    <xf numFmtId="0" fontId="7" fillId="3" borderId="12" xfId="2" applyFont="1" applyBorder="1" applyAlignment="1">
      <alignment horizontal="left" vertical="center"/>
    </xf>
    <xf numFmtId="0" fontId="7" fillId="3" borderId="13" xfId="2" applyFont="1" applyBorder="1" applyAlignment="1">
      <alignment horizontal="left" vertical="center"/>
    </xf>
    <xf numFmtId="0" fontId="7" fillId="3" borderId="14" xfId="2" applyFont="1" applyBorder="1" applyAlignment="1">
      <alignment horizontal="left" vertical="center"/>
    </xf>
    <xf numFmtId="0" fontId="10" fillId="3" borderId="15" xfId="2" applyFont="1" applyBorder="1" applyAlignment="1">
      <alignment horizontal="left" vertical="center"/>
    </xf>
    <xf numFmtId="0" fontId="10" fillId="3" borderId="20" xfId="2" applyFont="1" applyBorder="1" applyAlignment="1">
      <alignment horizontal="left" vertical="center"/>
    </xf>
    <xf numFmtId="0" fontId="4" fillId="4" borderId="15" xfId="3" applyFont="1" applyBorder="1" applyAlignment="1" applyProtection="1">
      <alignment horizontal="left" vertical="center"/>
      <protection hidden="1"/>
    </xf>
    <xf numFmtId="0" fontId="4" fillId="4" borderId="19" xfId="3" applyFont="1" applyBorder="1" applyAlignment="1" applyProtection="1">
      <alignment horizontal="left" vertical="center"/>
      <protection hidden="1"/>
    </xf>
    <xf numFmtId="0" fontId="4" fillId="4" borderId="20" xfId="3" applyFont="1" applyBorder="1" applyAlignment="1" applyProtection="1">
      <alignment horizontal="left" vertical="center"/>
      <protection hidden="1"/>
    </xf>
    <xf numFmtId="0" fontId="6" fillId="4" borderId="15" xfId="3" applyFont="1" applyBorder="1" applyAlignment="1" applyProtection="1">
      <alignment horizontal="left" vertical="center"/>
      <protection hidden="1"/>
    </xf>
    <xf numFmtId="0" fontId="6" fillId="4" borderId="19" xfId="3" applyFont="1" applyBorder="1" applyAlignment="1" applyProtection="1">
      <alignment horizontal="left" vertical="center"/>
      <protection hidden="1"/>
    </xf>
    <xf numFmtId="0" fontId="6" fillId="4" borderId="20" xfId="3" applyFont="1" applyBorder="1" applyAlignment="1" applyProtection="1">
      <alignment horizontal="left" vertical="center"/>
      <protection hidden="1"/>
    </xf>
    <xf numFmtId="0" fontId="17" fillId="6" borderId="2" xfId="5" applyFont="1" applyBorder="1" applyAlignment="1">
      <alignment horizontal="center"/>
    </xf>
    <xf numFmtId="0" fontId="23" fillId="16" borderId="3" xfId="8" applyFont="1" applyBorder="1" applyAlignment="1">
      <alignment horizontal="center" vertical="center"/>
    </xf>
    <xf numFmtId="0" fontId="23" fillId="16" borderId="4" xfId="8" applyFont="1" applyBorder="1" applyAlignment="1">
      <alignment horizontal="center" vertical="center"/>
    </xf>
    <xf numFmtId="0" fontId="23" fillId="16" borderId="5" xfId="8" applyFont="1" applyBorder="1" applyAlignment="1">
      <alignment horizontal="center" vertical="center"/>
    </xf>
    <xf numFmtId="0" fontId="23" fillId="16" borderId="6" xfId="8" applyFont="1" applyBorder="1" applyAlignment="1">
      <alignment horizontal="center" vertical="center"/>
    </xf>
    <xf numFmtId="0" fontId="23" fillId="16" borderId="7" xfId="8" applyFont="1" applyBorder="1" applyAlignment="1">
      <alignment horizontal="center" vertical="center"/>
    </xf>
    <xf numFmtId="0" fontId="23" fillId="16" borderId="8" xfId="8" applyFont="1" applyBorder="1" applyAlignment="1">
      <alignment horizontal="center" vertical="center"/>
    </xf>
    <xf numFmtId="0" fontId="10" fillId="3" borderId="22" xfId="2" applyFont="1" applyBorder="1" applyAlignment="1">
      <alignment horizontal="left" vertical="center"/>
    </xf>
    <xf numFmtId="0" fontId="10" fillId="3" borderId="23" xfId="2" applyFont="1" applyBorder="1" applyAlignment="1">
      <alignment horizontal="left" vertical="center"/>
    </xf>
    <xf numFmtId="0" fontId="20" fillId="2" borderId="16" xfId="1" applyFont="1" applyBorder="1" applyAlignment="1" applyProtection="1">
      <alignment horizontal="left" vertical="center"/>
      <protection hidden="1"/>
    </xf>
    <xf numFmtId="0" fontId="20" fillId="2" borderId="17" xfId="1" applyFont="1" applyBorder="1" applyAlignment="1" applyProtection="1">
      <alignment horizontal="left" vertical="center"/>
      <protection hidden="1"/>
    </xf>
    <xf numFmtId="0" fontId="20" fillId="2" borderId="18" xfId="1" applyFont="1" applyBorder="1" applyAlignment="1" applyProtection="1">
      <alignment horizontal="left" vertical="center"/>
      <protection hidden="1"/>
    </xf>
    <xf numFmtId="0" fontId="10" fillId="3" borderId="19" xfId="2" applyFont="1" applyBorder="1" applyAlignment="1">
      <alignment horizontal="left" vertical="center"/>
    </xf>
    <xf numFmtId="0" fontId="8" fillId="5" borderId="2" xfId="4" applyFont="1" applyBorder="1" applyAlignment="1">
      <alignment horizontal="center"/>
    </xf>
    <xf numFmtId="0" fontId="3" fillId="5" borderId="50" xfId="4" applyFont="1" applyBorder="1" applyAlignment="1">
      <alignment horizontal="center" vertical="center"/>
    </xf>
    <xf numFmtId="0" fontId="6" fillId="6" borderId="2" xfId="5" applyFont="1" applyBorder="1" applyAlignment="1">
      <alignment horizontal="center" vertical="center"/>
    </xf>
    <xf numFmtId="0" fontId="6" fillId="6" borderId="50" xfId="5" applyFont="1" applyBorder="1" applyAlignment="1">
      <alignment horizontal="center" vertical="center"/>
    </xf>
    <xf numFmtId="0" fontId="9" fillId="6" borderId="49" xfId="5" applyFont="1" applyBorder="1" applyAlignment="1">
      <alignment horizontal="center" vertical="center"/>
    </xf>
    <xf numFmtId="0" fontId="9" fillId="6" borderId="2" xfId="5" applyFont="1" applyBorder="1" applyAlignment="1">
      <alignment horizontal="center" vertical="center"/>
    </xf>
    <xf numFmtId="0" fontId="9" fillId="6" borderId="50" xfId="5" applyFont="1" applyBorder="1" applyAlignment="1">
      <alignment horizontal="center" vertical="center"/>
    </xf>
    <xf numFmtId="0" fontId="6" fillId="6" borderId="49" xfId="5" applyFont="1" applyBorder="1" applyAlignment="1">
      <alignment horizontal="center" vertical="center"/>
    </xf>
    <xf numFmtId="9" fontId="42" fillId="0" borderId="36" xfId="12" applyNumberFormat="1" applyFont="1" applyBorder="1" applyAlignment="1">
      <alignment horizontal="center" vertical="center" wrapText="1"/>
    </xf>
    <xf numFmtId="9" fontId="14" fillId="0" borderId="36" xfId="0" applyNumberFormat="1" applyFont="1" applyBorder="1" applyAlignment="1">
      <alignment horizontal="center" vertical="center" wrapText="1"/>
    </xf>
    <xf numFmtId="1" fontId="14" fillId="0" borderId="36" xfId="0" applyNumberFormat="1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" fontId="42" fillId="0" borderId="36" xfId="12" applyNumberFormat="1" applyFont="1" applyBorder="1" applyAlignment="1">
      <alignment horizontal="center" vertical="center" wrapText="1"/>
    </xf>
    <xf numFmtId="1" fontId="14" fillId="0" borderId="36" xfId="0" applyNumberFormat="1" applyFont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" fontId="14" fillId="0" borderId="0" xfId="0" applyNumberFormat="1" applyFont="1" applyBorder="1" applyAlignment="1">
      <alignment horizontal="left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14" fillId="0" borderId="36" xfId="0" applyNumberFormat="1" applyFont="1" applyFill="1" applyBorder="1" applyAlignment="1">
      <alignment horizontal="center" vertical="center" wrapText="1"/>
    </xf>
    <xf numFmtId="1" fontId="12" fillId="0" borderId="36" xfId="0" applyNumberFormat="1" applyFont="1" applyFill="1" applyBorder="1" applyAlignment="1">
      <alignment horizontal="center" vertical="center" wrapText="1"/>
    </xf>
    <xf numFmtId="9" fontId="14" fillId="0" borderId="36" xfId="0" applyNumberFormat="1" applyFont="1" applyFill="1" applyBorder="1" applyAlignment="1" applyProtection="1">
      <alignment horizontal="center" vertical="center" wrapText="1"/>
      <protection hidden="1"/>
    </xf>
    <xf numFmtId="9" fontId="14" fillId="0" borderId="36" xfId="0" applyNumberFormat="1" applyFont="1" applyFill="1" applyBorder="1" applyAlignment="1">
      <alignment horizontal="center" vertical="center" wrapText="1"/>
    </xf>
    <xf numFmtId="1" fontId="14" fillId="0" borderId="36" xfId="0" applyNumberFormat="1" applyFont="1" applyFill="1" applyBorder="1" applyAlignment="1" applyProtection="1">
      <alignment horizontal="center" vertical="center" wrapText="1"/>
      <protection hidden="1"/>
    </xf>
    <xf numFmtId="2" fontId="14" fillId="0" borderId="35" xfId="0" applyNumberFormat="1" applyFont="1" applyFill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0" borderId="33" xfId="0" applyNumberFormat="1" applyFont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14" fillId="0" borderId="51" xfId="0" applyNumberFormat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1" fontId="4" fillId="0" borderId="36" xfId="0" applyNumberFormat="1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2" fontId="14" fillId="0" borderId="55" xfId="0" applyNumberFormat="1" applyFont="1" applyBorder="1" applyAlignment="1">
      <alignment horizontal="center" vertical="center" wrapText="1"/>
    </xf>
    <xf numFmtId="2" fontId="14" fillId="0" borderId="53" xfId="0" applyNumberFormat="1" applyFont="1" applyBorder="1" applyAlignment="1">
      <alignment horizontal="center" vertical="center" wrapText="1"/>
    </xf>
    <xf numFmtId="1" fontId="14" fillId="0" borderId="53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1" fontId="4" fillId="0" borderId="36" xfId="0" applyNumberFormat="1" applyFont="1" applyFill="1" applyBorder="1" applyAlignment="1">
      <alignment horizontal="left" vertical="center" wrapText="1"/>
    </xf>
    <xf numFmtId="2" fontId="65" fillId="40" borderId="36" xfId="0" applyNumberFormat="1" applyFont="1" applyFill="1" applyBorder="1" applyAlignment="1">
      <alignment horizontal="center" vertical="center" wrapText="1"/>
    </xf>
    <xf numFmtId="2" fontId="66" fillId="40" borderId="36" xfId="8" applyNumberFormat="1" applyFont="1" applyFill="1" applyBorder="1" applyAlignment="1">
      <alignment horizontal="center" vertical="center" wrapText="1"/>
    </xf>
    <xf numFmtId="2" fontId="39" fillId="23" borderId="36" xfId="0" applyNumberFormat="1" applyFont="1" applyFill="1" applyBorder="1" applyAlignment="1">
      <alignment horizontal="center" vertical="center"/>
    </xf>
    <xf numFmtId="0" fontId="63" fillId="18" borderId="35" xfId="0" applyFont="1" applyFill="1" applyBorder="1" applyAlignment="1">
      <alignment horizontal="center" vertical="center"/>
    </xf>
    <xf numFmtId="0" fontId="63" fillId="18" borderId="33" xfId="0" applyFont="1" applyFill="1" applyBorder="1" applyAlignment="1">
      <alignment horizontal="center" vertical="center"/>
    </xf>
    <xf numFmtId="0" fontId="63" fillId="18" borderId="36" xfId="0" applyFont="1" applyFill="1" applyBorder="1" applyAlignment="1">
      <alignment horizontal="center" vertical="center"/>
    </xf>
    <xf numFmtId="0" fontId="17" fillId="24" borderId="36" xfId="11" applyFont="1" applyBorder="1" applyAlignment="1">
      <alignment horizontal="center" vertical="center"/>
    </xf>
    <xf numFmtId="0" fontId="66" fillId="18" borderId="36" xfId="0" applyFont="1" applyFill="1" applyBorder="1" applyAlignment="1">
      <alignment horizontal="center" vertical="center" wrapText="1"/>
    </xf>
    <xf numFmtId="0" fontId="3" fillId="20" borderId="35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2" fontId="39" fillId="23" borderId="51" xfId="0" applyNumberFormat="1" applyFont="1" applyFill="1" applyBorder="1" applyAlignment="1">
      <alignment horizontal="center" vertical="center"/>
    </xf>
    <xf numFmtId="2" fontId="39" fillId="23" borderId="52" xfId="0" applyNumberFormat="1" applyFont="1" applyFill="1" applyBorder="1" applyAlignment="1">
      <alignment horizontal="center" vertical="center"/>
    </xf>
    <xf numFmtId="2" fontId="39" fillId="23" borderId="53" xfId="0" applyNumberFormat="1" applyFont="1" applyFill="1" applyBorder="1" applyAlignment="1">
      <alignment horizontal="center" vertical="center"/>
    </xf>
    <xf numFmtId="0" fontId="66" fillId="40" borderId="35" xfId="8" applyFont="1" applyFill="1" applyBorder="1" applyAlignment="1">
      <alignment horizontal="center" vertical="center"/>
    </xf>
    <xf numFmtId="0" fontId="66" fillId="40" borderId="34" xfId="8" applyFont="1" applyFill="1" applyBorder="1" applyAlignment="1">
      <alignment horizontal="center" vertical="center"/>
    </xf>
    <xf numFmtId="0" fontId="66" fillId="40" borderId="33" xfId="8" applyFont="1" applyFill="1" applyBorder="1" applyAlignment="1">
      <alignment horizontal="center" vertical="center"/>
    </xf>
    <xf numFmtId="0" fontId="66" fillId="19" borderId="35" xfId="0" applyFont="1" applyFill="1" applyBorder="1" applyAlignment="1">
      <alignment horizontal="center" vertical="center"/>
    </xf>
    <xf numFmtId="0" fontId="66" fillId="19" borderId="34" xfId="0" applyFont="1" applyFill="1" applyBorder="1" applyAlignment="1">
      <alignment horizontal="center" vertical="center"/>
    </xf>
    <xf numFmtId="0" fontId="66" fillId="19" borderId="33" xfId="0" applyFont="1" applyFill="1" applyBorder="1" applyAlignment="1">
      <alignment horizontal="center" vertical="center"/>
    </xf>
    <xf numFmtId="0" fontId="62" fillId="40" borderId="35" xfId="8" applyFont="1" applyFill="1" applyBorder="1" applyAlignment="1">
      <alignment horizontal="center" vertical="center"/>
    </xf>
    <xf numFmtId="0" fontId="62" fillId="40" borderId="33" xfId="8" applyFont="1" applyFill="1" applyBorder="1" applyAlignment="1">
      <alignment horizontal="center" vertical="center"/>
    </xf>
    <xf numFmtId="9" fontId="64" fillId="19" borderId="35" xfId="10" applyFont="1" applyFill="1" applyBorder="1" applyAlignment="1">
      <alignment horizontal="center" vertical="center"/>
    </xf>
    <xf numFmtId="9" fontId="64" fillId="19" borderId="33" xfId="10" applyFont="1" applyFill="1" applyBorder="1" applyAlignment="1">
      <alignment horizontal="center" vertical="center"/>
    </xf>
    <xf numFmtId="0" fontId="23" fillId="29" borderId="36" xfId="0" applyFont="1" applyFill="1" applyBorder="1" applyAlignment="1">
      <alignment horizontal="center" vertical="center"/>
    </xf>
    <xf numFmtId="0" fontId="62" fillId="19" borderId="36" xfId="0" applyFont="1" applyFill="1" applyBorder="1" applyAlignment="1">
      <alignment horizontal="center" vertical="center" wrapText="1"/>
    </xf>
    <xf numFmtId="0" fontId="63" fillId="18" borderId="59" xfId="0" applyFont="1" applyFill="1" applyBorder="1" applyAlignment="1">
      <alignment horizontal="center" vertical="center"/>
    </xf>
    <xf numFmtId="0" fontId="63" fillId="18" borderId="60" xfId="0" applyFont="1" applyFill="1" applyBorder="1" applyAlignment="1">
      <alignment horizontal="center" vertical="center"/>
    </xf>
    <xf numFmtId="0" fontId="63" fillId="18" borderId="56" xfId="0" applyFont="1" applyFill="1" applyBorder="1" applyAlignment="1">
      <alignment horizontal="center" vertical="center"/>
    </xf>
    <xf numFmtId="0" fontId="63" fillId="18" borderId="61" xfId="0" applyFont="1" applyFill="1" applyBorder="1" applyAlignment="1">
      <alignment horizontal="center" vertical="center"/>
    </xf>
    <xf numFmtId="0" fontId="3" fillId="32" borderId="36" xfId="0" applyFont="1" applyFill="1" applyBorder="1" applyAlignment="1">
      <alignment horizontal="center" vertical="center" wrapText="1"/>
    </xf>
    <xf numFmtId="0" fontId="32" fillId="23" borderId="36" xfId="0" applyFont="1" applyFill="1" applyBorder="1" applyAlignment="1">
      <alignment horizontal="center" vertical="center"/>
    </xf>
    <xf numFmtId="2" fontId="13" fillId="40" borderId="36" xfId="8" applyNumberFormat="1" applyFont="1" applyFill="1" applyBorder="1" applyAlignment="1">
      <alignment horizontal="center" vertical="center" wrapText="1"/>
    </xf>
    <xf numFmtId="0" fontId="36" fillId="25" borderId="36" xfId="0" applyFont="1" applyFill="1" applyBorder="1" applyAlignment="1">
      <alignment horizontal="center" vertical="center"/>
    </xf>
    <xf numFmtId="9" fontId="23" fillId="27" borderId="36" xfId="10" applyFont="1" applyFill="1" applyBorder="1" applyAlignment="1">
      <alignment horizontal="center" vertical="center"/>
    </xf>
    <xf numFmtId="0" fontId="49" fillId="25" borderId="36" xfId="0" applyFont="1" applyFill="1" applyBorder="1" applyAlignment="1">
      <alignment horizontal="center" vertical="center"/>
    </xf>
    <xf numFmtId="0" fontId="36" fillId="27" borderId="36" xfId="0" applyFont="1" applyFill="1" applyBorder="1" applyAlignment="1">
      <alignment horizontal="center" vertical="center"/>
    </xf>
    <xf numFmtId="9" fontId="65" fillId="19" borderId="36" xfId="0" applyNumberFormat="1" applyFont="1" applyFill="1" applyBorder="1" applyAlignment="1">
      <alignment horizontal="center" vertical="center"/>
    </xf>
    <xf numFmtId="2" fontId="35" fillId="26" borderId="36" xfId="0" applyNumberFormat="1" applyFont="1" applyFill="1" applyBorder="1" applyAlignment="1">
      <alignment horizontal="center" vertical="center" wrapText="1"/>
    </xf>
    <xf numFmtId="2" fontId="62" fillId="40" borderId="36" xfId="8" applyNumberFormat="1" applyFont="1" applyFill="1" applyBorder="1" applyAlignment="1">
      <alignment horizontal="center" vertical="center" wrapText="1"/>
    </xf>
    <xf numFmtId="2" fontId="34" fillId="25" borderId="36" xfId="0" applyNumberFormat="1" applyFont="1" applyFill="1" applyBorder="1" applyAlignment="1">
      <alignment horizontal="center" vertical="center"/>
    </xf>
    <xf numFmtId="0" fontId="66" fillId="40" borderId="36" xfId="8" applyFont="1" applyFill="1" applyBorder="1" applyAlignment="1">
      <alignment horizontal="center" vertical="center"/>
    </xf>
    <xf numFmtId="0" fontId="66" fillId="19" borderId="36" xfId="0" applyFont="1" applyFill="1" applyBorder="1" applyAlignment="1">
      <alignment horizontal="center" vertical="center" wrapText="1"/>
    </xf>
    <xf numFmtId="0" fontId="66" fillId="19" borderId="36" xfId="0" applyFont="1" applyFill="1" applyBorder="1" applyAlignment="1">
      <alignment horizontal="center" vertical="center"/>
    </xf>
    <xf numFmtId="0" fontId="62" fillId="19" borderId="35" xfId="0" applyFont="1" applyFill="1" applyBorder="1" applyAlignment="1">
      <alignment horizontal="center" vertical="center" wrapText="1"/>
    </xf>
    <xf numFmtId="0" fontId="62" fillId="19" borderId="34" xfId="0" applyFont="1" applyFill="1" applyBorder="1" applyAlignment="1">
      <alignment horizontal="center" vertical="center" wrapText="1"/>
    </xf>
    <xf numFmtId="0" fontId="62" fillId="19" borderId="33" xfId="0" applyFont="1" applyFill="1" applyBorder="1" applyAlignment="1">
      <alignment horizontal="center" vertical="center" wrapText="1"/>
    </xf>
    <xf numFmtId="0" fontId="62" fillId="19" borderId="59" xfId="0" applyFont="1" applyFill="1" applyBorder="1" applyAlignment="1">
      <alignment horizontal="center" vertical="center" wrapText="1"/>
    </xf>
    <xf numFmtId="0" fontId="62" fillId="19" borderId="60" xfId="0" applyFont="1" applyFill="1" applyBorder="1" applyAlignment="1">
      <alignment horizontal="center" vertical="center" wrapText="1"/>
    </xf>
    <xf numFmtId="0" fontId="62" fillId="19" borderId="57" xfId="0" applyFont="1" applyFill="1" applyBorder="1" applyAlignment="1">
      <alignment horizontal="center" vertical="center" wrapText="1"/>
    </xf>
    <xf numFmtId="0" fontId="62" fillId="19" borderId="55" xfId="0" applyFont="1" applyFill="1" applyBorder="1" applyAlignment="1">
      <alignment horizontal="center" vertical="center" wrapText="1"/>
    </xf>
    <xf numFmtId="0" fontId="17" fillId="24" borderId="59" xfId="11" applyFont="1" applyBorder="1" applyAlignment="1">
      <alignment horizontal="center" vertical="center"/>
    </xf>
    <xf numFmtId="0" fontId="17" fillId="24" borderId="60" xfId="11" applyFont="1" applyBorder="1" applyAlignment="1">
      <alignment horizontal="center" vertical="center"/>
    </xf>
    <xf numFmtId="0" fontId="4" fillId="22" borderId="36" xfId="0" applyFont="1" applyFill="1" applyBorder="1" applyAlignment="1">
      <alignment horizontal="center"/>
    </xf>
    <xf numFmtId="0" fontId="14" fillId="22" borderId="36" xfId="0" applyFont="1" applyFill="1" applyBorder="1" applyAlignment="1">
      <alignment horizontal="center" vertical="center"/>
    </xf>
    <xf numFmtId="0" fontId="3" fillId="32" borderId="51" xfId="0" applyFont="1" applyFill="1" applyBorder="1" applyAlignment="1">
      <alignment horizontal="center" vertical="center" wrapText="1"/>
    </xf>
    <xf numFmtId="0" fontId="3" fillId="32" borderId="53" xfId="0" applyFont="1" applyFill="1" applyBorder="1" applyAlignment="1">
      <alignment horizontal="center" vertical="center" wrapText="1"/>
    </xf>
    <xf numFmtId="0" fontId="70" fillId="25" borderId="36" xfId="0" applyFont="1" applyFill="1" applyBorder="1" applyAlignment="1">
      <alignment horizontal="center" vertical="center"/>
    </xf>
    <xf numFmtId="0" fontId="62" fillId="19" borderId="64" xfId="0" applyFont="1" applyFill="1" applyBorder="1" applyAlignment="1">
      <alignment horizontal="center" vertical="center" wrapText="1"/>
    </xf>
    <xf numFmtId="0" fontId="62" fillId="19" borderId="58" xfId="0" applyFont="1" applyFill="1" applyBorder="1" applyAlignment="1">
      <alignment horizontal="center" vertical="center" wrapText="1"/>
    </xf>
    <xf numFmtId="0" fontId="3" fillId="32" borderId="59" xfId="0" applyFont="1" applyFill="1" applyBorder="1" applyAlignment="1">
      <alignment horizontal="center" vertical="center" wrapText="1"/>
    </xf>
    <xf numFmtId="0" fontId="3" fillId="32" borderId="60" xfId="0" applyFont="1" applyFill="1" applyBorder="1" applyAlignment="1">
      <alignment horizontal="center" vertical="center" wrapText="1"/>
    </xf>
    <xf numFmtId="0" fontId="3" fillId="32" borderId="57" xfId="0" applyFont="1" applyFill="1" applyBorder="1" applyAlignment="1">
      <alignment horizontal="center" vertical="center" wrapText="1"/>
    </xf>
    <xf numFmtId="0" fontId="3" fillId="32" borderId="55" xfId="0" applyFont="1" applyFill="1" applyBorder="1" applyAlignment="1">
      <alignment horizontal="center" vertical="center" wrapText="1"/>
    </xf>
  </cellXfs>
  <cellStyles count="13">
    <cellStyle name="20% - Accent2" xfId="2" builtinId="34"/>
    <cellStyle name="20% - Accent3" xfId="3" builtinId="38"/>
    <cellStyle name="20% - Accent5" xfId="9" builtinId="46"/>
    <cellStyle name="20% - Accent6" xfId="5" builtinId="50"/>
    <cellStyle name="40% - Accent4" xfId="11" builtinId="43"/>
    <cellStyle name="60% - Accent4" xfId="4" builtinId="44"/>
    <cellStyle name="Accent1" xfId="6" builtinId="29"/>
    <cellStyle name="Accent2" xfId="7" builtinId="33"/>
    <cellStyle name="Accent4" xfId="8" builtinId="41"/>
    <cellStyle name="Normal" xfId="0" builtinId="0"/>
    <cellStyle name="Normal 2 2" xfId="12"/>
    <cellStyle name="Output" xfId="1" builtinId="21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xMode val="edge"/>
          <c:yMode val="edge"/>
          <c:x val="1.6666666666666673E-2"/>
          <c:y val="3.0000000000000002E-2"/>
          <c:w val="0.96666666666666667"/>
          <c:h val="0.96500000000000019"/>
        </c:manualLayout>
      </c:layout>
      <c:barChart>
        <c:barDir val="col"/>
        <c:grouping val="clustered"/>
        <c:ser>
          <c:idx val="0"/>
          <c:order val="0"/>
          <c:tx>
            <c:strRef>
              <c:f>'End Survey'!$M$11</c:f>
              <c:strCache>
                <c:ptCount val="1"/>
                <c:pt idx="0">
                  <c:v>(80-100%)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Survey'!$M$12:$M$16</c:f>
              <c:numCache>
                <c:formatCode>0</c:formatCode>
                <c:ptCount val="5"/>
                <c:pt idx="0">
                  <c:v>54</c:v>
                </c:pt>
                <c:pt idx="1">
                  <c:v>45</c:v>
                </c:pt>
                <c:pt idx="2">
                  <c:v>40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'End Survey'!$N$11</c:f>
              <c:strCache>
                <c:ptCount val="1"/>
                <c:pt idx="0">
                  <c:v>(60-79%)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Survey'!$N$12:$N$16</c:f>
              <c:numCache>
                <c:formatCode>0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16</c:v>
                </c:pt>
                <c:pt idx="3">
                  <c:v>10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'End Survey'!$O$11</c:f>
              <c:strCache>
                <c:ptCount val="1"/>
                <c:pt idx="0">
                  <c:v>(40-59%)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Survey'!$O$12:$O$16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axId val="155554944"/>
        <c:axId val="155556480"/>
      </c:barChart>
      <c:catAx>
        <c:axId val="155554944"/>
        <c:scaling>
          <c:orientation val="minMax"/>
        </c:scaling>
        <c:axPos val="b"/>
        <c:numFmt formatCode="General" sourceLinked="0"/>
        <c:tickLblPos val="nextTo"/>
        <c:crossAx val="155556480"/>
        <c:crosses val="autoZero"/>
        <c:auto val="1"/>
        <c:lblAlgn val="ctr"/>
        <c:lblOffset val="100"/>
      </c:catAx>
      <c:valAx>
        <c:axId val="155556480"/>
        <c:scaling>
          <c:orientation val="minMax"/>
          <c:max val="55"/>
          <c:min val="0"/>
        </c:scaling>
        <c:axPos val="l"/>
        <c:numFmt formatCode="0" sourceLinked="1"/>
        <c:tickLblPos val="nextTo"/>
        <c:crossAx val="155554944"/>
        <c:crosses val="autoZero"/>
        <c:crossBetween val="between"/>
        <c:majorUnit val="5.5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xMode val="edge"/>
          <c:yMode val="edge"/>
          <c:x val="1.3888888888888897E-2"/>
          <c:y val="2.7777777777777801E-2"/>
          <c:w val="0.97222222222222221"/>
          <c:h val="0.96759259259259289"/>
        </c:manualLayout>
      </c:layout>
      <c:barChart>
        <c:barDir val="col"/>
        <c:grouping val="clustered"/>
        <c:ser>
          <c:idx val="0"/>
          <c:order val="0"/>
          <c:tx>
            <c:strRef>
              <c:f>'End Survey'!$M$11</c:f>
              <c:strCache>
                <c:ptCount val="1"/>
                <c:pt idx="0">
                  <c:v>(80-100%)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Survey'!$M$12:$M$16</c:f>
              <c:numCache>
                <c:formatCode>0</c:formatCode>
                <c:ptCount val="5"/>
                <c:pt idx="0">
                  <c:v>54</c:v>
                </c:pt>
                <c:pt idx="1">
                  <c:v>45</c:v>
                </c:pt>
                <c:pt idx="2">
                  <c:v>40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'End Survey'!$N$11</c:f>
              <c:strCache>
                <c:ptCount val="1"/>
                <c:pt idx="0">
                  <c:v>(60-79%)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Survey'!$N$12:$N$16</c:f>
              <c:numCache>
                <c:formatCode>0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16</c:v>
                </c:pt>
                <c:pt idx="3">
                  <c:v>10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'End Survey'!$O$11</c:f>
              <c:strCache>
                <c:ptCount val="1"/>
                <c:pt idx="0">
                  <c:v>(40-59%)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Survey'!$O$12:$O$16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axId val="159203712"/>
        <c:axId val="159205248"/>
      </c:barChart>
      <c:catAx>
        <c:axId val="159203712"/>
        <c:scaling>
          <c:orientation val="minMax"/>
        </c:scaling>
        <c:axPos val="b"/>
        <c:numFmt formatCode="General" sourceLinked="0"/>
        <c:tickLblPos val="nextTo"/>
        <c:crossAx val="159205248"/>
        <c:crosses val="autoZero"/>
        <c:auto val="1"/>
        <c:lblAlgn val="ctr"/>
        <c:lblOffset val="100"/>
      </c:catAx>
      <c:valAx>
        <c:axId val="159205248"/>
        <c:scaling>
          <c:orientation val="minMax"/>
          <c:max val="55"/>
          <c:min val="0"/>
        </c:scaling>
        <c:axPos val="l"/>
        <c:numFmt formatCode="0" sourceLinked="1"/>
        <c:tickLblPos val="nextTo"/>
        <c:crossAx val="159203712"/>
        <c:crosses val="autoZero"/>
        <c:crossBetween val="between"/>
        <c:majorUnit val="5.5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xMode val="edge"/>
          <c:yMode val="edge"/>
          <c:x val="1.3888888888888897E-2"/>
          <c:y val="2.7777777777777801E-2"/>
          <c:w val="0.97222222222222221"/>
          <c:h val="0.96759259259259289"/>
        </c:manualLayout>
      </c:layout>
      <c:barChart>
        <c:barDir val="col"/>
        <c:grouping val="clustered"/>
        <c:ser>
          <c:idx val="0"/>
          <c:order val="0"/>
          <c:tx>
            <c:strRef>
              <c:f>'End Survey'!$M$11</c:f>
              <c:strCache>
                <c:ptCount val="1"/>
                <c:pt idx="0">
                  <c:v>(80-100%)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Survey'!$M$12:$M$16</c:f>
              <c:numCache>
                <c:formatCode>0</c:formatCode>
                <c:ptCount val="5"/>
                <c:pt idx="0">
                  <c:v>54</c:v>
                </c:pt>
                <c:pt idx="1">
                  <c:v>45</c:v>
                </c:pt>
                <c:pt idx="2">
                  <c:v>40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'End Survey'!$N$11</c:f>
              <c:strCache>
                <c:ptCount val="1"/>
                <c:pt idx="0">
                  <c:v>(60-79%)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Survey'!$N$12:$N$16</c:f>
              <c:numCache>
                <c:formatCode>0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16</c:v>
                </c:pt>
                <c:pt idx="3">
                  <c:v>10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'End Survey'!$O$11</c:f>
              <c:strCache>
                <c:ptCount val="1"/>
                <c:pt idx="0">
                  <c:v>(40-59%)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Survey'!$O$12:$O$16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axId val="159239552"/>
        <c:axId val="159253632"/>
      </c:barChart>
      <c:catAx>
        <c:axId val="159239552"/>
        <c:scaling>
          <c:orientation val="minMax"/>
        </c:scaling>
        <c:axPos val="b"/>
        <c:numFmt formatCode="General" sourceLinked="0"/>
        <c:tickLblPos val="nextTo"/>
        <c:crossAx val="159253632"/>
        <c:crosses val="autoZero"/>
        <c:auto val="1"/>
        <c:lblAlgn val="ctr"/>
        <c:lblOffset val="100"/>
      </c:catAx>
      <c:valAx>
        <c:axId val="159253632"/>
        <c:scaling>
          <c:orientation val="minMax"/>
          <c:max val="64"/>
          <c:min val="0"/>
        </c:scaling>
        <c:axPos val="l"/>
        <c:numFmt formatCode="0" sourceLinked="1"/>
        <c:tickLblPos val="nextTo"/>
        <c:crossAx val="159239552"/>
        <c:crosses val="autoZero"/>
        <c:crossBetween val="between"/>
        <c:majorUnit val="6.4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xMode val="edge"/>
          <c:yMode val="edge"/>
          <c:x val="1.3888888888888897E-2"/>
          <c:y val="2.7777777777777801E-2"/>
          <c:w val="0.97222222222222221"/>
          <c:h val="0.96759259259259289"/>
        </c:manualLayout>
      </c:layout>
      <c:barChart>
        <c:barDir val="col"/>
        <c:grouping val="clustered"/>
        <c:ser>
          <c:idx val="0"/>
          <c:order val="0"/>
          <c:tx>
            <c:strRef>
              <c:f>'End Survey'!$M$11</c:f>
              <c:strCache>
                <c:ptCount val="1"/>
                <c:pt idx="0">
                  <c:v>(80-100%)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Survey'!$M$12:$M$16</c:f>
              <c:numCache>
                <c:formatCode>0</c:formatCode>
                <c:ptCount val="5"/>
                <c:pt idx="0">
                  <c:v>54</c:v>
                </c:pt>
                <c:pt idx="1">
                  <c:v>45</c:v>
                </c:pt>
                <c:pt idx="2">
                  <c:v>40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'End Survey'!$N$11</c:f>
              <c:strCache>
                <c:ptCount val="1"/>
                <c:pt idx="0">
                  <c:v>(60-79%)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Survey'!$N$12:$N$16</c:f>
              <c:numCache>
                <c:formatCode>0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16</c:v>
                </c:pt>
                <c:pt idx="3">
                  <c:v>10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'End Survey'!$O$11</c:f>
              <c:strCache>
                <c:ptCount val="1"/>
                <c:pt idx="0">
                  <c:v>(40-59%)</c:v>
                </c:pt>
              </c:strCache>
            </c:strRef>
          </c:tx>
          <c:cat>
            <c:strRef>
              <c:f>'End Survey'!$L$12:$L$16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'End Survey'!$O$12:$O$16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axId val="159267456"/>
        <c:axId val="159285632"/>
      </c:barChart>
      <c:catAx>
        <c:axId val="159267456"/>
        <c:scaling>
          <c:orientation val="minMax"/>
        </c:scaling>
        <c:axPos val="b"/>
        <c:numFmt formatCode="General" sourceLinked="0"/>
        <c:tickLblPos val="nextTo"/>
        <c:crossAx val="159285632"/>
        <c:crosses val="autoZero"/>
        <c:auto val="1"/>
        <c:lblAlgn val="ctr"/>
        <c:lblOffset val="100"/>
      </c:catAx>
      <c:valAx>
        <c:axId val="159285632"/>
        <c:scaling>
          <c:orientation val="minMax"/>
          <c:max val="61"/>
          <c:min val="0"/>
        </c:scaling>
        <c:axPos val="l"/>
        <c:numFmt formatCode="0" sourceLinked="1"/>
        <c:tickLblPos val="nextTo"/>
        <c:crossAx val="159267456"/>
        <c:crosses val="autoZero"/>
        <c:crossBetween val="between"/>
        <c:majorUnit val="6.1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Analysis!$G$11</c:f>
              <c:strCache>
                <c:ptCount val="1"/>
                <c:pt idx="0">
                  <c:v>Average</c:v>
                </c:pt>
              </c:strCache>
            </c:strRef>
          </c:tx>
          <c:cat>
            <c:strRef>
              <c:f>Analysis!$C$12:$C$16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Analysis!$G$12:$G$16</c:f>
              <c:numCache>
                <c:formatCode>0.00</c:formatCode>
                <c:ptCount val="5"/>
                <c:pt idx="0">
                  <c:v>79.426229508196712</c:v>
                </c:pt>
                <c:pt idx="1">
                  <c:v>43.822100789313907</c:v>
                </c:pt>
                <c:pt idx="2">
                  <c:v>71.136363636363626</c:v>
                </c:pt>
                <c:pt idx="3">
                  <c:v>66.101694915254242</c:v>
                </c:pt>
                <c:pt idx="4">
                  <c:v>69.090909090909093</c:v>
                </c:pt>
              </c:numCache>
            </c:numRef>
          </c:val>
        </c:ser>
        <c:ser>
          <c:idx val="1"/>
          <c:order val="1"/>
          <c:tx>
            <c:strRef>
              <c:f>Analysis!$H$11</c:f>
              <c:strCache>
                <c:ptCount val="1"/>
                <c:pt idx="0">
                  <c:v>Target</c:v>
                </c:pt>
              </c:strCache>
            </c:strRef>
          </c:tx>
          <c:cat>
            <c:strRef>
              <c:f>Analysis!$C$12:$C$16</c:f>
              <c:strCache>
                <c:ptCount val="5"/>
                <c:pt idx="0">
                  <c:v>C0.1</c:v>
                </c:pt>
                <c:pt idx="1">
                  <c:v>C0.2</c:v>
                </c:pt>
                <c:pt idx="2">
                  <c:v>C0.3</c:v>
                </c:pt>
                <c:pt idx="3">
                  <c:v>C0.4</c:v>
                </c:pt>
                <c:pt idx="4">
                  <c:v>C0.5</c:v>
                </c:pt>
              </c:strCache>
            </c:strRef>
          </c:cat>
          <c:val>
            <c:numRef>
              <c:f>Analysis!$H$12:$H$16</c:f>
              <c:numCache>
                <c:formatCode>0.00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val>
        </c:ser>
        <c:axId val="159343744"/>
        <c:axId val="159345280"/>
      </c:barChart>
      <c:catAx>
        <c:axId val="159343744"/>
        <c:scaling>
          <c:orientation val="minMax"/>
        </c:scaling>
        <c:axPos val="b"/>
        <c:numFmt formatCode="General" sourceLinked="0"/>
        <c:tickLblPos val="nextTo"/>
        <c:crossAx val="159345280"/>
        <c:crosses val="autoZero"/>
        <c:auto val="1"/>
        <c:lblAlgn val="ctr"/>
        <c:lblOffset val="100"/>
      </c:catAx>
      <c:valAx>
        <c:axId val="159345280"/>
        <c:scaling>
          <c:orientation val="minMax"/>
        </c:scaling>
        <c:axPos val="l"/>
        <c:numFmt formatCode="0.00" sourceLinked="1"/>
        <c:tickLblPos val="nextTo"/>
        <c:crossAx val="1593437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PO Attainment</a:t>
            </a:r>
          </a:p>
        </c:rich>
      </c:tx>
    </c:title>
    <c:plotArea>
      <c:layout>
        <c:manualLayout>
          <c:layoutTarget val="inner"/>
          <c:xMode val="edge"/>
          <c:yMode val="edge"/>
          <c:x val="6.1563368957312681E-2"/>
          <c:y val="0.17165536599591719"/>
          <c:w val="0.91689652301043334"/>
          <c:h val="0.68921660834062382"/>
        </c:manualLayout>
      </c:layout>
      <c:barChart>
        <c:barDir val="col"/>
        <c:grouping val="clustered"/>
        <c:ser>
          <c:idx val="0"/>
          <c:order val="0"/>
          <c:cat>
            <c:strRef>
              <c:f>Master!$AO$3:$AZ$3</c:f>
              <c:strCache>
                <c:ptCount val="12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PO10</c:v>
                </c:pt>
                <c:pt idx="10">
                  <c:v>PO11</c:v>
                </c:pt>
                <c:pt idx="11">
                  <c:v>PO12</c:v>
                </c:pt>
              </c:strCache>
            </c:strRef>
          </c:cat>
          <c:val>
            <c:numRef>
              <c:f>Master!$AO$4:$AZ$4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159736192"/>
        <c:axId val="159737728"/>
      </c:barChart>
      <c:catAx>
        <c:axId val="159736192"/>
        <c:scaling>
          <c:orientation val="minMax"/>
        </c:scaling>
        <c:axPos val="b"/>
        <c:numFmt formatCode="General" sourceLinked="0"/>
        <c:tickLblPos val="nextTo"/>
        <c:crossAx val="159737728"/>
        <c:crosses val="autoZero"/>
        <c:auto val="1"/>
        <c:lblAlgn val="ctr"/>
        <c:lblOffset val="100"/>
      </c:catAx>
      <c:valAx>
        <c:axId val="159737728"/>
        <c:scaling>
          <c:orientation val="minMax"/>
          <c:max val="3"/>
        </c:scaling>
        <c:axPos val="l"/>
        <c:numFmt formatCode="0.00" sourceLinked="1"/>
        <c:tickLblPos val="nextTo"/>
        <c:crossAx val="159736192"/>
        <c:crosses val="autoZero"/>
        <c:crossBetween val="between"/>
      </c:valAx>
    </c:plotArea>
    <c:plotVisOnly val="1"/>
    <c:dispBlanksAs val="gap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PSO Attainment</a:t>
            </a:r>
          </a:p>
        </c:rich>
      </c:tx>
    </c:title>
    <c:plotArea>
      <c:layout>
        <c:manualLayout>
          <c:layoutTarget val="inner"/>
          <c:xMode val="edge"/>
          <c:yMode val="edge"/>
          <c:x val="6.1563368957312681E-2"/>
          <c:y val="0.17165536599591719"/>
          <c:w val="0.91689652301043334"/>
          <c:h val="0.68921660834062382"/>
        </c:manualLayout>
      </c:layout>
      <c:barChart>
        <c:barDir val="col"/>
        <c:grouping val="clustered"/>
        <c:ser>
          <c:idx val="0"/>
          <c:order val="0"/>
          <c:cat>
            <c:strRef>
              <c:f>Master!$AO$6:$AZ$6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Master!$AO$7:$AR$7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59766016"/>
        <c:axId val="159767552"/>
      </c:barChart>
      <c:catAx>
        <c:axId val="159766016"/>
        <c:scaling>
          <c:orientation val="minMax"/>
        </c:scaling>
        <c:axPos val="b"/>
        <c:numFmt formatCode="General" sourceLinked="0"/>
        <c:tickLblPos val="nextTo"/>
        <c:crossAx val="159767552"/>
        <c:crosses val="autoZero"/>
        <c:auto val="1"/>
        <c:lblAlgn val="ctr"/>
        <c:lblOffset val="100"/>
      </c:catAx>
      <c:valAx>
        <c:axId val="159767552"/>
        <c:scaling>
          <c:orientation val="minMax"/>
        </c:scaling>
        <c:axPos val="l"/>
        <c:numFmt formatCode="0.00" sourceLinked="1"/>
        <c:tickLblPos val="nextTo"/>
        <c:crossAx val="159766016"/>
        <c:crosses val="autoZero"/>
        <c:crossBetween val="between"/>
      </c:valAx>
    </c:plotArea>
    <c:plotVisOnly val="1"/>
    <c:dispBlanksAs val="gap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PO Attainment</a:t>
            </a:r>
          </a:p>
        </c:rich>
      </c:tx>
    </c:title>
    <c:plotArea>
      <c:layout>
        <c:manualLayout>
          <c:layoutTarget val="inner"/>
          <c:xMode val="edge"/>
          <c:yMode val="edge"/>
          <c:x val="6.1563368957312681E-2"/>
          <c:y val="0.17165536599591719"/>
          <c:w val="0.91689652301043334"/>
          <c:h val="0.68921660834062382"/>
        </c:manualLayout>
      </c:layout>
      <c:barChart>
        <c:barDir val="col"/>
        <c:grouping val="clustered"/>
        <c:ser>
          <c:idx val="0"/>
          <c:order val="0"/>
          <c:cat>
            <c:strRef>
              <c:f>Master!$AO$10:$AZ$10</c:f>
              <c:strCache>
                <c:ptCount val="12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PO10</c:v>
                </c:pt>
                <c:pt idx="10">
                  <c:v>PO11</c:v>
                </c:pt>
                <c:pt idx="11">
                  <c:v>PO12</c:v>
                </c:pt>
              </c:strCache>
            </c:strRef>
          </c:cat>
          <c:val>
            <c:numRef>
              <c:f>Master!$AO$11:$AZ$11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154430464"/>
        <c:axId val="154440448"/>
      </c:barChart>
      <c:catAx>
        <c:axId val="154430464"/>
        <c:scaling>
          <c:orientation val="minMax"/>
        </c:scaling>
        <c:axPos val="b"/>
        <c:numFmt formatCode="General" sourceLinked="1"/>
        <c:tickLblPos val="nextTo"/>
        <c:crossAx val="154440448"/>
        <c:crosses val="autoZero"/>
        <c:auto val="1"/>
        <c:lblAlgn val="ctr"/>
        <c:lblOffset val="100"/>
      </c:catAx>
      <c:valAx>
        <c:axId val="154440448"/>
        <c:scaling>
          <c:orientation val="minMax"/>
        </c:scaling>
        <c:axPos val="l"/>
        <c:numFmt formatCode="0.00" sourceLinked="1"/>
        <c:tickLblPos val="nextTo"/>
        <c:crossAx val="154430464"/>
        <c:crosses val="autoZero"/>
        <c:crossBetween val="between"/>
      </c:valAx>
    </c:plotArea>
    <c:plotVisOnly val="1"/>
    <c:dispBlanksAs val="gap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PSO Attainment</a:t>
            </a:r>
          </a:p>
        </c:rich>
      </c:tx>
    </c:title>
    <c:plotArea>
      <c:layout>
        <c:manualLayout>
          <c:layoutTarget val="inner"/>
          <c:xMode val="edge"/>
          <c:yMode val="edge"/>
          <c:x val="6.1563368957312681E-2"/>
          <c:y val="0.17165536599591719"/>
          <c:w val="0.91689652301043334"/>
          <c:h val="0.68921660834062382"/>
        </c:manualLayout>
      </c:layout>
      <c:barChart>
        <c:barDir val="col"/>
        <c:grouping val="clustered"/>
        <c:ser>
          <c:idx val="0"/>
          <c:order val="0"/>
          <c:cat>
            <c:strRef>
              <c:f>Master!$AO$13:$AR$13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Master!$AO$14:$AR$14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55328896"/>
        <c:axId val="155330432"/>
      </c:barChart>
      <c:catAx>
        <c:axId val="155328896"/>
        <c:scaling>
          <c:orientation val="minMax"/>
        </c:scaling>
        <c:axPos val="b"/>
        <c:numFmt formatCode="General" sourceLinked="1"/>
        <c:tickLblPos val="nextTo"/>
        <c:crossAx val="155330432"/>
        <c:crosses val="autoZero"/>
        <c:auto val="1"/>
        <c:lblAlgn val="ctr"/>
        <c:lblOffset val="100"/>
      </c:catAx>
      <c:valAx>
        <c:axId val="155330432"/>
        <c:scaling>
          <c:orientation val="minMax"/>
        </c:scaling>
        <c:axPos val="l"/>
        <c:numFmt formatCode="0.00" sourceLinked="1"/>
        <c:tickLblPos val="nextTo"/>
        <c:crossAx val="155328896"/>
        <c:crosses val="autoZero"/>
        <c:crossBetween val="between"/>
      </c:valAx>
    </c:plotArea>
    <c:plotVisOnly val="1"/>
    <c:dispBlanksAs val="gap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371475</xdr:colOff>
      <xdr:row>0</xdr:row>
      <xdr:rowOff>609600</xdr:rowOff>
    </xdr:from>
    <xdr:ext cx="2610523" cy="264560"/>
    <xdr:sp macro="" textlink="">
      <xdr:nvSpPr>
        <xdr:cNvPr id="2" name="TextBox 1"/>
        <xdr:cNvSpPr txBox="1"/>
      </xdr:nvSpPr>
      <xdr:spPr>
        <a:xfrm>
          <a:off x="8448675" y="609600"/>
          <a:ext cx="2610523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Click Go </a:t>
          </a:r>
          <a:r>
            <a:rPr lang="en-US" sz="1100" b="1" baseline="0"/>
            <a:t> Button to Navigate to Next Page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15</xdr:col>
      <xdr:colOff>685800</xdr:colOff>
      <xdr:row>29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714375</xdr:colOff>
      <xdr:row>15</xdr:row>
      <xdr:rowOff>133350</xdr:rowOff>
    </xdr:from>
    <xdr:to>
      <xdr:col>17</xdr:col>
      <xdr:colOff>0</xdr:colOff>
      <xdr:row>26</xdr:row>
      <xdr:rowOff>223837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504825</xdr:colOff>
      <xdr:row>3</xdr:row>
      <xdr:rowOff>242887</xdr:rowOff>
    </xdr:from>
    <xdr:to>
      <xdr:col>16</xdr:col>
      <xdr:colOff>142875</xdr:colOff>
      <xdr:row>14</xdr:row>
      <xdr:rowOff>147637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466725</xdr:colOff>
      <xdr:row>4</xdr:row>
      <xdr:rowOff>185737</xdr:rowOff>
    </xdr:from>
    <xdr:to>
      <xdr:col>16</xdr:col>
      <xdr:colOff>619125</xdr:colOff>
      <xdr:row>15</xdr:row>
      <xdr:rowOff>119062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9</xdr:col>
      <xdr:colOff>304800</xdr:colOff>
      <xdr:row>26</xdr:row>
      <xdr:rowOff>179614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</xdr:colOff>
      <xdr:row>3</xdr:row>
      <xdr:rowOff>244928</xdr:rowOff>
    </xdr:from>
    <xdr:to>
      <xdr:col>3</xdr:col>
      <xdr:colOff>585107</xdr:colOff>
      <xdr:row>3</xdr:row>
      <xdr:rowOff>258535</xdr:rowOff>
    </xdr:to>
    <xdr:cxnSp macro="">
      <xdr:nvCxnSpPr>
        <xdr:cNvPr id="28" name="Straight Arrow Connector 27"/>
        <xdr:cNvCxnSpPr/>
      </xdr:nvCxnSpPr>
      <xdr:spPr>
        <a:xfrm>
          <a:off x="1714500" y="1455964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</xdr:colOff>
      <xdr:row>4</xdr:row>
      <xdr:rowOff>299357</xdr:rowOff>
    </xdr:from>
    <xdr:to>
      <xdr:col>3</xdr:col>
      <xdr:colOff>585107</xdr:colOff>
      <xdr:row>4</xdr:row>
      <xdr:rowOff>312964</xdr:rowOff>
    </xdr:to>
    <xdr:cxnSp macro="">
      <xdr:nvCxnSpPr>
        <xdr:cNvPr id="29" name="Straight Arrow Connector 28"/>
        <xdr:cNvCxnSpPr/>
      </xdr:nvCxnSpPr>
      <xdr:spPr>
        <a:xfrm>
          <a:off x="1714500" y="2041071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</xdr:colOff>
      <xdr:row>6</xdr:row>
      <xdr:rowOff>258536</xdr:rowOff>
    </xdr:from>
    <xdr:to>
      <xdr:col>3</xdr:col>
      <xdr:colOff>585107</xdr:colOff>
      <xdr:row>6</xdr:row>
      <xdr:rowOff>272143</xdr:rowOff>
    </xdr:to>
    <xdr:cxnSp macro="">
      <xdr:nvCxnSpPr>
        <xdr:cNvPr id="30" name="Straight Arrow Connector 29"/>
        <xdr:cNvCxnSpPr/>
      </xdr:nvCxnSpPr>
      <xdr:spPr>
        <a:xfrm>
          <a:off x="1714500" y="3061607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54429</xdr:colOff>
      <xdr:row>7</xdr:row>
      <xdr:rowOff>299357</xdr:rowOff>
    </xdr:from>
    <xdr:to>
      <xdr:col>3</xdr:col>
      <xdr:colOff>612322</xdr:colOff>
      <xdr:row>7</xdr:row>
      <xdr:rowOff>312964</xdr:rowOff>
    </xdr:to>
    <xdr:cxnSp macro="">
      <xdr:nvCxnSpPr>
        <xdr:cNvPr id="31" name="Straight Arrow Connector 30"/>
        <xdr:cNvCxnSpPr/>
      </xdr:nvCxnSpPr>
      <xdr:spPr>
        <a:xfrm>
          <a:off x="1741715" y="3633107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40822</xdr:colOff>
      <xdr:row>8</xdr:row>
      <xdr:rowOff>217714</xdr:rowOff>
    </xdr:from>
    <xdr:to>
      <xdr:col>3</xdr:col>
      <xdr:colOff>598715</xdr:colOff>
      <xdr:row>8</xdr:row>
      <xdr:rowOff>231321</xdr:rowOff>
    </xdr:to>
    <xdr:cxnSp macro="">
      <xdr:nvCxnSpPr>
        <xdr:cNvPr id="32" name="Straight Arrow Connector 31"/>
        <xdr:cNvCxnSpPr/>
      </xdr:nvCxnSpPr>
      <xdr:spPr>
        <a:xfrm>
          <a:off x="1728108" y="4082143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13608</xdr:colOff>
      <xdr:row>10</xdr:row>
      <xdr:rowOff>217714</xdr:rowOff>
    </xdr:from>
    <xdr:to>
      <xdr:col>3</xdr:col>
      <xdr:colOff>571501</xdr:colOff>
      <xdr:row>10</xdr:row>
      <xdr:rowOff>231321</xdr:rowOff>
    </xdr:to>
    <xdr:cxnSp macro="">
      <xdr:nvCxnSpPr>
        <xdr:cNvPr id="33" name="Straight Arrow Connector 32"/>
        <xdr:cNvCxnSpPr/>
      </xdr:nvCxnSpPr>
      <xdr:spPr>
        <a:xfrm>
          <a:off x="1700894" y="4844143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40822</xdr:colOff>
      <xdr:row>9</xdr:row>
      <xdr:rowOff>204107</xdr:rowOff>
    </xdr:from>
    <xdr:to>
      <xdr:col>3</xdr:col>
      <xdr:colOff>598715</xdr:colOff>
      <xdr:row>9</xdr:row>
      <xdr:rowOff>217714</xdr:rowOff>
    </xdr:to>
    <xdr:cxnSp macro="">
      <xdr:nvCxnSpPr>
        <xdr:cNvPr id="34" name="Straight Arrow Connector 33"/>
        <xdr:cNvCxnSpPr/>
      </xdr:nvCxnSpPr>
      <xdr:spPr>
        <a:xfrm>
          <a:off x="1728108" y="4449536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54427</xdr:colOff>
      <xdr:row>5</xdr:row>
      <xdr:rowOff>312964</xdr:rowOff>
    </xdr:from>
    <xdr:to>
      <xdr:col>3</xdr:col>
      <xdr:colOff>612320</xdr:colOff>
      <xdr:row>5</xdr:row>
      <xdr:rowOff>326571</xdr:rowOff>
    </xdr:to>
    <xdr:cxnSp macro="">
      <xdr:nvCxnSpPr>
        <xdr:cNvPr id="35" name="Straight Arrow Connector 34"/>
        <xdr:cNvCxnSpPr/>
      </xdr:nvCxnSpPr>
      <xdr:spPr>
        <a:xfrm>
          <a:off x="1741713" y="2585357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348528</xdr:colOff>
      <xdr:row>50</xdr:row>
      <xdr:rowOff>238125</xdr:rowOff>
    </xdr:from>
    <xdr:to>
      <xdr:col>26</xdr:col>
      <xdr:colOff>279255</xdr:colOff>
      <xdr:row>58</xdr:row>
      <xdr:rowOff>86591</xdr:rowOff>
    </xdr:to>
    <xdr:graphicFrame macro="">
      <xdr:nvGraphicFramePr>
        <xdr:cNvPr id="4" name="ch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344197</xdr:colOff>
      <xdr:row>60</xdr:row>
      <xdr:rowOff>88757</xdr:rowOff>
    </xdr:from>
    <xdr:to>
      <xdr:col>26</xdr:col>
      <xdr:colOff>274924</xdr:colOff>
      <xdr:row>84</xdr:row>
      <xdr:rowOff>54120</xdr:rowOff>
    </xdr:to>
    <xdr:graphicFrame macro="">
      <xdr:nvGraphicFramePr>
        <xdr:cNvPr id="16" name="ch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</xdr:colOff>
      <xdr:row>3</xdr:row>
      <xdr:rowOff>244928</xdr:rowOff>
    </xdr:from>
    <xdr:to>
      <xdr:col>3</xdr:col>
      <xdr:colOff>585107</xdr:colOff>
      <xdr:row>3</xdr:row>
      <xdr:rowOff>258535</xdr:rowOff>
    </xdr:to>
    <xdr:cxnSp macro="">
      <xdr:nvCxnSpPr>
        <xdr:cNvPr id="2" name="Straight Arrow Connector 1"/>
        <xdr:cNvCxnSpPr/>
      </xdr:nvCxnSpPr>
      <xdr:spPr>
        <a:xfrm>
          <a:off x="2198914" y="1883228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</xdr:colOff>
      <xdr:row>4</xdr:row>
      <xdr:rowOff>299357</xdr:rowOff>
    </xdr:from>
    <xdr:to>
      <xdr:col>3</xdr:col>
      <xdr:colOff>585107</xdr:colOff>
      <xdr:row>4</xdr:row>
      <xdr:rowOff>312964</xdr:rowOff>
    </xdr:to>
    <xdr:cxnSp macro="">
      <xdr:nvCxnSpPr>
        <xdr:cNvPr id="3" name="Straight Arrow Connector 2"/>
        <xdr:cNvCxnSpPr/>
      </xdr:nvCxnSpPr>
      <xdr:spPr>
        <a:xfrm>
          <a:off x="2198914" y="2461532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</xdr:colOff>
      <xdr:row>6</xdr:row>
      <xdr:rowOff>258536</xdr:rowOff>
    </xdr:from>
    <xdr:to>
      <xdr:col>3</xdr:col>
      <xdr:colOff>585107</xdr:colOff>
      <xdr:row>6</xdr:row>
      <xdr:rowOff>272143</xdr:rowOff>
    </xdr:to>
    <xdr:cxnSp macro="">
      <xdr:nvCxnSpPr>
        <xdr:cNvPr id="4" name="Straight Arrow Connector 3"/>
        <xdr:cNvCxnSpPr/>
      </xdr:nvCxnSpPr>
      <xdr:spPr>
        <a:xfrm>
          <a:off x="2198914" y="3468461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54429</xdr:colOff>
      <xdr:row>7</xdr:row>
      <xdr:rowOff>299357</xdr:rowOff>
    </xdr:from>
    <xdr:to>
      <xdr:col>3</xdr:col>
      <xdr:colOff>612322</xdr:colOff>
      <xdr:row>7</xdr:row>
      <xdr:rowOff>312964</xdr:rowOff>
    </xdr:to>
    <xdr:cxnSp macro="">
      <xdr:nvCxnSpPr>
        <xdr:cNvPr id="5" name="Straight Arrow Connector 4"/>
        <xdr:cNvCxnSpPr/>
      </xdr:nvCxnSpPr>
      <xdr:spPr>
        <a:xfrm>
          <a:off x="2226129" y="3733800"/>
          <a:ext cx="55789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40822</xdr:colOff>
      <xdr:row>8</xdr:row>
      <xdr:rowOff>217714</xdr:rowOff>
    </xdr:from>
    <xdr:to>
      <xdr:col>3</xdr:col>
      <xdr:colOff>598715</xdr:colOff>
      <xdr:row>8</xdr:row>
      <xdr:rowOff>231321</xdr:rowOff>
    </xdr:to>
    <xdr:cxnSp macro="">
      <xdr:nvCxnSpPr>
        <xdr:cNvPr id="6" name="Straight Arrow Connector 5"/>
        <xdr:cNvCxnSpPr/>
      </xdr:nvCxnSpPr>
      <xdr:spPr>
        <a:xfrm>
          <a:off x="2212522" y="3733800"/>
          <a:ext cx="55789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13608</xdr:colOff>
      <xdr:row>10</xdr:row>
      <xdr:rowOff>217714</xdr:rowOff>
    </xdr:from>
    <xdr:to>
      <xdr:col>3</xdr:col>
      <xdr:colOff>571501</xdr:colOff>
      <xdr:row>10</xdr:row>
      <xdr:rowOff>231321</xdr:rowOff>
    </xdr:to>
    <xdr:cxnSp macro="">
      <xdr:nvCxnSpPr>
        <xdr:cNvPr id="7" name="Straight Arrow Connector 6"/>
        <xdr:cNvCxnSpPr/>
      </xdr:nvCxnSpPr>
      <xdr:spPr>
        <a:xfrm>
          <a:off x="2185308" y="3733800"/>
          <a:ext cx="55789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40822</xdr:colOff>
      <xdr:row>9</xdr:row>
      <xdr:rowOff>204107</xdr:rowOff>
    </xdr:from>
    <xdr:to>
      <xdr:col>3</xdr:col>
      <xdr:colOff>598715</xdr:colOff>
      <xdr:row>9</xdr:row>
      <xdr:rowOff>217714</xdr:rowOff>
    </xdr:to>
    <xdr:cxnSp macro="">
      <xdr:nvCxnSpPr>
        <xdr:cNvPr id="8" name="Straight Arrow Connector 7"/>
        <xdr:cNvCxnSpPr/>
      </xdr:nvCxnSpPr>
      <xdr:spPr>
        <a:xfrm>
          <a:off x="2212522" y="3733800"/>
          <a:ext cx="55789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54427</xdr:colOff>
      <xdr:row>5</xdr:row>
      <xdr:rowOff>312964</xdr:rowOff>
    </xdr:from>
    <xdr:to>
      <xdr:col>3</xdr:col>
      <xdr:colOff>612320</xdr:colOff>
      <xdr:row>5</xdr:row>
      <xdr:rowOff>326571</xdr:rowOff>
    </xdr:to>
    <xdr:cxnSp macro="">
      <xdr:nvCxnSpPr>
        <xdr:cNvPr id="9" name="Straight Arrow Connector 8"/>
        <xdr:cNvCxnSpPr/>
      </xdr:nvCxnSpPr>
      <xdr:spPr>
        <a:xfrm>
          <a:off x="2226127" y="2999014"/>
          <a:ext cx="557893" cy="13607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467591</xdr:colOff>
      <xdr:row>51</xdr:row>
      <xdr:rowOff>22512</xdr:rowOff>
    </xdr:from>
    <xdr:to>
      <xdr:col>26</xdr:col>
      <xdr:colOff>398318</xdr:colOff>
      <xdr:row>59</xdr:row>
      <xdr:rowOff>69273</xdr:rowOff>
    </xdr:to>
    <xdr:graphicFrame macro="">
      <xdr:nvGraphicFramePr>
        <xdr:cNvPr id="10" name="ch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450270</xdr:colOff>
      <xdr:row>61</xdr:row>
      <xdr:rowOff>86592</xdr:rowOff>
    </xdr:from>
    <xdr:to>
      <xdr:col>26</xdr:col>
      <xdr:colOff>380997</xdr:colOff>
      <xdr:row>86</xdr:row>
      <xdr:rowOff>86591</xdr:rowOff>
    </xdr:to>
    <xdr:graphicFrame macro="">
      <xdr:nvGraphicFramePr>
        <xdr:cNvPr id="11" name="ch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G109"/>
  <sheetViews>
    <sheetView showGridLines="0" showRowColHeaders="0" topLeftCell="A43" workbookViewId="0">
      <selection activeCell="C65" sqref="C65"/>
    </sheetView>
  </sheetViews>
  <sheetFormatPr defaultColWidth="9.140625" defaultRowHeight="15"/>
  <cols>
    <col min="1" max="2" width="9.140625" style="114"/>
    <col min="3" max="3" width="20" style="114" customWidth="1"/>
    <col min="4" max="4" width="34.42578125" style="114" customWidth="1"/>
    <col min="5" max="5" width="8.28515625" style="114" customWidth="1"/>
    <col min="6" max="6" width="16.42578125" style="114" customWidth="1"/>
    <col min="7" max="7" width="10.85546875" style="114" customWidth="1"/>
    <col min="8" max="8" width="10.42578125" style="114" customWidth="1"/>
    <col min="9" max="9" width="9.140625" style="114"/>
    <col min="10" max="10" width="15.7109375" style="114" customWidth="1"/>
    <col min="11" max="11" width="4.42578125" style="114" customWidth="1"/>
    <col min="12" max="14" width="9.140625" style="114"/>
    <col min="15" max="15" width="9.140625" style="114" hidden="1" customWidth="1"/>
    <col min="16" max="20" width="9.140625" style="225" hidden="1" customWidth="1"/>
    <col min="21" max="21" width="43.5703125" style="225" hidden="1" customWidth="1"/>
    <col min="22" max="28" width="9.140625" style="225" hidden="1" customWidth="1"/>
    <col min="29" max="29" width="12.140625" style="225" hidden="1" customWidth="1"/>
    <col min="30" max="35" width="9.140625" style="225" hidden="1" customWidth="1"/>
    <col min="36" max="36" width="10.28515625" style="233" hidden="1" customWidth="1"/>
    <col min="37" max="37" width="9.140625" style="233" hidden="1" customWidth="1"/>
    <col min="38" max="53" width="9.140625" style="225" hidden="1" customWidth="1"/>
    <col min="54" max="55" width="9.140625" style="226" hidden="1" customWidth="1"/>
    <col min="56" max="58" width="9.140625" style="225" hidden="1" customWidth="1"/>
    <col min="59" max="59" width="9.140625" style="114" hidden="1" customWidth="1"/>
    <col min="60" max="16384" width="9.140625" style="114"/>
  </cols>
  <sheetData>
    <row r="1" spans="1:58" ht="63.75" customHeight="1">
      <c r="A1" s="312" t="s">
        <v>161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S1" s="225" t="s">
        <v>94</v>
      </c>
      <c r="T1" s="225" t="s">
        <v>94</v>
      </c>
      <c r="U1" s="225" t="s">
        <v>94</v>
      </c>
      <c r="V1" s="225" t="str">
        <f>$L$7&amp;".1"</f>
        <v>C0.1</v>
      </c>
      <c r="W1" s="225" t="s">
        <v>94</v>
      </c>
      <c r="Z1" s="225" t="s">
        <v>94</v>
      </c>
      <c r="AC1" s="228">
        <f>B104-COUNTIF(C5:C104,"")</f>
        <v>61</v>
      </c>
    </row>
    <row r="2" spans="1:58">
      <c r="A2" s="130"/>
      <c r="B2" s="130"/>
      <c r="C2" s="130"/>
      <c r="D2" s="130"/>
      <c r="E2" s="320"/>
      <c r="F2" s="320"/>
      <c r="G2" s="320"/>
      <c r="H2" s="130"/>
      <c r="I2" s="130"/>
      <c r="J2" s="130"/>
      <c r="K2" s="130"/>
      <c r="L2" s="130"/>
      <c r="M2" s="130"/>
      <c r="N2" s="130"/>
      <c r="S2" s="225">
        <v>1</v>
      </c>
      <c r="T2" s="225" t="s">
        <v>5</v>
      </c>
      <c r="U2" s="225" t="s">
        <v>26</v>
      </c>
      <c r="V2" s="225" t="str">
        <f>$L$7&amp;".2"</f>
        <v>C0.2</v>
      </c>
      <c r="W2" s="225">
        <v>10</v>
      </c>
      <c r="X2" s="229">
        <v>2009</v>
      </c>
      <c r="Y2" s="225">
        <f>X2+1</f>
        <v>2010</v>
      </c>
      <c r="Z2" s="225" t="str">
        <f>X2&amp;"-"&amp;RIGHT(Y2,2)</f>
        <v>2009-10</v>
      </c>
    </row>
    <row r="3" spans="1:58" ht="21">
      <c r="A3" s="130"/>
      <c r="B3" s="318" t="s">
        <v>49</v>
      </c>
      <c r="C3" s="319"/>
      <c r="D3" s="319"/>
      <c r="E3" s="314" t="s">
        <v>111</v>
      </c>
      <c r="F3" s="314"/>
      <c r="G3" s="314"/>
      <c r="H3" s="314"/>
      <c r="I3" s="314"/>
      <c r="J3" s="314"/>
      <c r="K3" s="314"/>
      <c r="L3" s="314"/>
      <c r="M3" s="314"/>
      <c r="N3" s="314"/>
      <c r="S3" s="225">
        <v>2</v>
      </c>
      <c r="T3" s="225" t="s">
        <v>6</v>
      </c>
      <c r="U3" s="225" t="s">
        <v>16</v>
      </c>
      <c r="V3" s="225" t="str">
        <f>$L$7&amp;".3"</f>
        <v>C0.3</v>
      </c>
      <c r="W3" s="225">
        <v>13</v>
      </c>
      <c r="X3" s="225">
        <f>Y2</f>
        <v>2010</v>
      </c>
      <c r="Y3" s="225">
        <f>X3+1</f>
        <v>2011</v>
      </c>
      <c r="Z3" s="225" t="str">
        <f t="shared" ref="Z3:Z16" si="0">X3&amp;"-"&amp;RIGHT(Y3,2)</f>
        <v>2010-11</v>
      </c>
      <c r="AP3" s="226" t="s">
        <v>2</v>
      </c>
      <c r="AQ3" s="226" t="s">
        <v>93</v>
      </c>
      <c r="AR3" s="226" t="s">
        <v>131</v>
      </c>
      <c r="AS3" s="226" t="s">
        <v>132</v>
      </c>
      <c r="AT3" s="226" t="s">
        <v>128</v>
      </c>
      <c r="AV3" s="230" t="s">
        <v>2</v>
      </c>
      <c r="AW3" s="230" t="s">
        <v>93</v>
      </c>
      <c r="AX3" s="230" t="s">
        <v>131</v>
      </c>
      <c r="AY3" s="230" t="s">
        <v>132</v>
      </c>
      <c r="AZ3" s="230" t="s">
        <v>128</v>
      </c>
      <c r="BB3" s="226" t="s">
        <v>133</v>
      </c>
      <c r="BC3" s="226" t="s">
        <v>134</v>
      </c>
      <c r="BE3" s="226" t="s">
        <v>133</v>
      </c>
      <c r="BF3" s="226" t="s">
        <v>134</v>
      </c>
    </row>
    <row r="4" spans="1:58" ht="21.75" customHeight="1">
      <c r="A4" s="130"/>
      <c r="B4" s="171" t="s">
        <v>48</v>
      </c>
      <c r="C4" s="171" t="s">
        <v>47</v>
      </c>
      <c r="D4" s="171" t="s">
        <v>46</v>
      </c>
      <c r="E4" s="4"/>
      <c r="F4" s="156" t="s">
        <v>0</v>
      </c>
      <c r="G4" s="315" t="s">
        <v>245</v>
      </c>
      <c r="H4" s="316"/>
      <c r="I4" s="317"/>
      <c r="J4" s="4"/>
      <c r="K4" s="4"/>
      <c r="L4" s="4"/>
      <c r="M4" s="155"/>
      <c r="N4" s="155"/>
      <c r="S4" s="225">
        <v>3</v>
      </c>
      <c r="T4" s="225" t="s">
        <v>7</v>
      </c>
      <c r="U4" s="225" t="s">
        <v>17</v>
      </c>
      <c r="V4" s="225" t="str">
        <f>$L$7&amp;".4"</f>
        <v>C0.4</v>
      </c>
      <c r="W4" s="225">
        <v>14</v>
      </c>
      <c r="X4" s="225">
        <f t="shared" ref="X4:X16" si="1">Y3</f>
        <v>2011</v>
      </c>
      <c r="Y4" s="225">
        <f t="shared" ref="Y4:Y16" si="2">X4+1</f>
        <v>2012</v>
      </c>
      <c r="Z4" s="225" t="str">
        <f t="shared" si="0"/>
        <v>2011-12</v>
      </c>
      <c r="AC4" s="225" t="s">
        <v>121</v>
      </c>
      <c r="AD4" s="225" t="s">
        <v>122</v>
      </c>
      <c r="AE4" s="225" t="s">
        <v>123</v>
      </c>
      <c r="AF4" s="225" t="s">
        <v>124</v>
      </c>
      <c r="AG4" s="225" t="s">
        <v>2</v>
      </c>
      <c r="AH4" s="225" t="s">
        <v>125</v>
      </c>
      <c r="AI4" s="225" t="s">
        <v>126</v>
      </c>
      <c r="AJ4" s="233" t="s">
        <v>182</v>
      </c>
      <c r="AK4" s="233" t="s">
        <v>127</v>
      </c>
      <c r="AL4" s="225" t="s">
        <v>128</v>
      </c>
      <c r="AM4" s="225" t="s">
        <v>129</v>
      </c>
      <c r="AN4" s="225" t="s">
        <v>130</v>
      </c>
      <c r="AP4" s="226">
        <v>1</v>
      </c>
      <c r="AQ4" s="226">
        <v>10</v>
      </c>
      <c r="AR4" s="226">
        <f t="shared" ref="AR4:AR19" si="3">INT(AP4&amp;AQ4)</f>
        <v>110</v>
      </c>
      <c r="AS4" s="226">
        <v>8</v>
      </c>
      <c r="AT4" s="226">
        <v>0</v>
      </c>
      <c r="AV4" s="230">
        <v>3</v>
      </c>
      <c r="AW4" s="230">
        <v>10</v>
      </c>
      <c r="AX4" s="230">
        <f>INT(AV4&amp;AW4)</f>
        <v>310</v>
      </c>
      <c r="AY4" s="230">
        <v>12</v>
      </c>
      <c r="AZ4" s="230">
        <v>0</v>
      </c>
      <c r="BB4" s="226" t="s">
        <v>135</v>
      </c>
      <c r="BC4" s="226">
        <v>1</v>
      </c>
      <c r="BE4" s="225" t="s">
        <v>179</v>
      </c>
      <c r="BF4" s="225">
        <v>1</v>
      </c>
    </row>
    <row r="5" spans="1:58" ht="21.75" customHeight="1">
      <c r="A5" s="130"/>
      <c r="B5" s="171">
        <v>1</v>
      </c>
      <c r="C5" s="234" t="s">
        <v>247</v>
      </c>
      <c r="D5" s="234" t="s">
        <v>248</v>
      </c>
      <c r="E5" s="4"/>
      <c r="F5" s="157" t="s">
        <v>1</v>
      </c>
      <c r="G5" s="313" t="s">
        <v>184</v>
      </c>
      <c r="H5" s="313"/>
      <c r="I5" s="313"/>
      <c r="J5" s="313"/>
      <c r="K5" s="313"/>
      <c r="L5" s="313"/>
      <c r="M5" s="155"/>
      <c r="N5" s="155"/>
      <c r="S5" s="225">
        <v>4</v>
      </c>
      <c r="T5" s="225" t="s">
        <v>8</v>
      </c>
      <c r="U5" s="225" t="s">
        <v>18</v>
      </c>
      <c r="V5" s="225" t="str">
        <f>$L$7&amp;".5"</f>
        <v>C0.5</v>
      </c>
      <c r="W5" s="225">
        <v>15</v>
      </c>
      <c r="X5" s="225">
        <f t="shared" si="1"/>
        <v>2012</v>
      </c>
      <c r="Y5" s="225">
        <f t="shared" si="2"/>
        <v>2013</v>
      </c>
      <c r="Z5" s="225" t="str">
        <f t="shared" si="0"/>
        <v>2012-13</v>
      </c>
      <c r="AC5" s="225" t="str">
        <f>IF(LEN(G4)&gt;0,UPPER(G4),0)</f>
        <v>EE6T01</v>
      </c>
      <c r="AD5" s="225">
        <f>LEN(AC5)</f>
        <v>6</v>
      </c>
      <c r="AE5" s="225" t="str">
        <f>RIGHT(LEFT(AC5,5),3)</f>
        <v>6T0</v>
      </c>
      <c r="AF5" s="225" t="str">
        <f>IF(AC8="F",IF(AD5=6,"C",IF(AD5=7,IF(OR(AE5="MA",AE5="CCP",AE5="CED",AE5="CIV",AE5="ELE",AE5="ELN",AE5="EME",AE5="PCD"),"C",IF(RIGHT(LEFT(AC5,5),1)="L","L","E")),IF(AD5=8,"C",IF(LEFT(AC5,3)="MAT","C","L")))),"C")</f>
        <v>C</v>
      </c>
      <c r="AG5" s="225">
        <f>IF(AC8="F",INT(IF(AF5="E",LEFT(RIGHT(AC5,3),1),IF(OR(AD5=8,AD5=9),LEFT(RIGHT(AC5,3),1),LEFT(RIGHT(AC5,2),1)))),AC8)</f>
        <v>0</v>
      </c>
      <c r="AH5" s="225">
        <f>ROUND(AG5/2,0)</f>
        <v>0</v>
      </c>
      <c r="AI5" s="225">
        <f>IF(AC8="F",IF(AND(AF5="C",AD5=6),INT(RIGHT(AC5,1)),IF(AF5="E",INT(LEFT(RIGHT(AC5,2),1))+INT((RIGHT(AC5,1)-1)),INT(RIGHT(AC5,1)))),AC8)</f>
        <v>1</v>
      </c>
      <c r="AJ5" s="233">
        <f>IF(AG5&gt;=5,(IF(OR(AF5="L",AF5="C"),INT(RIGHT(AC5,2)),IF(AF5="E",INT(RIGHT(AC5,3))))),0)</f>
        <v>0</v>
      </c>
      <c r="AK5" s="233" t="str">
        <f>IF(AC8="F",RIGHT(LEFT(AC5,4),2),"CS")</f>
        <v>6T</v>
      </c>
      <c r="AL5" s="225" t="e">
        <f>IF(AND(AK5&lt;&gt;"ME",OR(AG5&lt;&gt;3,AG5&lt;&gt;4)),IF(AND(RIGHT(LEFT(AC5,4),2)="ME",OR(AG5=3,AG5=4)),VLOOKUP(INT(AG5&amp;LEFT(AC5,2)),$AX$3:$AZ$5,3),IF(LEFT(AC5,3)="MAT","",VLOOKUP(INT(AG5&amp;LEFT(AC5,2)),$AR$3:$AT$19,3))),VLOOKUP(AC5,$BB$3:$BC$26,2))+IF(AND(AG5=6,AI5&gt;=7,AE5="L"),4,IF(AND(AG5=7,AI5&gt;=7,AF5="L"),7,0))</f>
        <v>#VALUE!</v>
      </c>
      <c r="AM5" s="225" t="str">
        <f>IF(AND(AK5&lt;&gt;"ME",OR(AG5&lt;&gt;3,AG5&lt;&gt;4)),IFERROR(AL5+AI5,""),AL5)</f>
        <v/>
      </c>
      <c r="AN5" s="225" t="str">
        <f>IF(AC8="F",IF(AJ5=0,IF(AM5&lt;10,"C"&amp;AH5&amp;"0"&amp;AM5,"C"&amp;AH5&amp;AM5),"C"&amp;VLOOKUP(AJ5,AJ9:AK56,2)),"C"&amp;AD8)</f>
        <v>C0</v>
      </c>
      <c r="AP5" s="226">
        <v>1</v>
      </c>
      <c r="AQ5" s="226">
        <v>13</v>
      </c>
      <c r="AR5" s="226">
        <f>INT(AP5&amp;AQ5)</f>
        <v>113</v>
      </c>
      <c r="AS5" s="226">
        <v>8</v>
      </c>
      <c r="AT5" s="226">
        <v>0</v>
      </c>
      <c r="AV5" s="230">
        <v>4</v>
      </c>
      <c r="AW5" s="230">
        <v>10</v>
      </c>
      <c r="AX5" s="230">
        <f>INT(AV5&amp;AW5)</f>
        <v>410</v>
      </c>
      <c r="AY5" s="230">
        <v>12</v>
      </c>
      <c r="AZ5" s="230">
        <f>AY4</f>
        <v>12</v>
      </c>
      <c r="BB5" s="226" t="s">
        <v>136</v>
      </c>
      <c r="BC5" s="226">
        <v>4</v>
      </c>
      <c r="BE5" s="225" t="s">
        <v>163</v>
      </c>
      <c r="BF5" s="225">
        <v>3</v>
      </c>
    </row>
    <row r="6" spans="1:58" ht="21.75" customHeight="1">
      <c r="A6" s="130"/>
      <c r="B6" s="171">
        <v>2</v>
      </c>
      <c r="C6" s="234" t="s">
        <v>249</v>
      </c>
      <c r="D6" s="234" t="s">
        <v>250</v>
      </c>
      <c r="E6" s="4"/>
      <c r="F6" s="157" t="s">
        <v>93</v>
      </c>
      <c r="G6" s="216">
        <v>14</v>
      </c>
      <c r="H6" s="158" t="s">
        <v>109</v>
      </c>
      <c r="I6" s="217">
        <v>4</v>
      </c>
      <c r="J6" s="307" t="s">
        <v>108</v>
      </c>
      <c r="K6" s="307"/>
      <c r="L6" s="218" t="s">
        <v>246</v>
      </c>
      <c r="M6" s="155"/>
      <c r="N6" s="155"/>
      <c r="S6" s="225">
        <v>5</v>
      </c>
      <c r="T6" s="225" t="s">
        <v>9</v>
      </c>
      <c r="U6" s="225" t="s">
        <v>74</v>
      </c>
      <c r="V6" s="225" t="str">
        <f>$L$7&amp;".6"</f>
        <v>C0.6</v>
      </c>
      <c r="W6" s="225">
        <v>16</v>
      </c>
      <c r="X6" s="225">
        <f t="shared" si="1"/>
        <v>2013</v>
      </c>
      <c r="Y6" s="225">
        <f t="shared" si="2"/>
        <v>2014</v>
      </c>
      <c r="Z6" s="225" t="str">
        <f t="shared" si="0"/>
        <v>2013-14</v>
      </c>
      <c r="AL6" s="225">
        <f>IF(AND(AG5=6,AI5&gt;=7),4,IF(AND(AG5=7,AI5&gt;=7),7,0))</f>
        <v>0</v>
      </c>
      <c r="AP6" s="226">
        <v>2</v>
      </c>
      <c r="AQ6" s="226">
        <v>10</v>
      </c>
      <c r="AR6" s="226">
        <f t="shared" si="3"/>
        <v>210</v>
      </c>
      <c r="AS6" s="226">
        <v>8</v>
      </c>
      <c r="AT6" s="226">
        <v>8</v>
      </c>
      <c r="BB6" s="226" t="s">
        <v>137</v>
      </c>
      <c r="BC6" s="226">
        <v>5</v>
      </c>
      <c r="BE6" s="225" t="s">
        <v>172</v>
      </c>
      <c r="BF6" s="225">
        <v>12</v>
      </c>
    </row>
    <row r="7" spans="1:58" ht="21.75" customHeight="1">
      <c r="A7" s="130"/>
      <c r="B7" s="171">
        <v>3</v>
      </c>
      <c r="C7" s="234" t="s">
        <v>251</v>
      </c>
      <c r="D7" s="234" t="s">
        <v>252</v>
      </c>
      <c r="E7" s="4"/>
      <c r="F7" s="157" t="s">
        <v>2</v>
      </c>
      <c r="G7" s="216">
        <v>6</v>
      </c>
      <c r="H7" s="158" t="s">
        <v>3</v>
      </c>
      <c r="I7" s="216" t="s">
        <v>5</v>
      </c>
      <c r="J7" s="307" t="s">
        <v>112</v>
      </c>
      <c r="K7" s="307"/>
      <c r="L7" s="219" t="str">
        <f>AN5</f>
        <v>C0</v>
      </c>
      <c r="M7" s="155"/>
      <c r="N7" s="155"/>
      <c r="S7" s="225">
        <v>6</v>
      </c>
      <c r="T7" s="225" t="s">
        <v>10</v>
      </c>
      <c r="U7" s="225" t="s">
        <v>19</v>
      </c>
      <c r="V7" s="225" t="str">
        <f>$L$7&amp;".7"</f>
        <v>C0.7</v>
      </c>
      <c r="X7" s="225">
        <f t="shared" si="1"/>
        <v>2014</v>
      </c>
      <c r="Y7" s="225">
        <f t="shared" si="2"/>
        <v>2015</v>
      </c>
      <c r="Z7" s="225" t="str">
        <f t="shared" si="0"/>
        <v>2014-15</v>
      </c>
      <c r="AB7" s="226"/>
      <c r="AC7" s="321" t="s">
        <v>183</v>
      </c>
      <c r="AD7" s="322"/>
      <c r="AP7" s="226">
        <v>2</v>
      </c>
      <c r="AQ7" s="226">
        <v>13</v>
      </c>
      <c r="AR7" s="226">
        <f t="shared" si="3"/>
        <v>213</v>
      </c>
      <c r="AS7" s="226">
        <v>8</v>
      </c>
      <c r="AT7" s="226">
        <v>8</v>
      </c>
      <c r="BB7" s="226" t="s">
        <v>138</v>
      </c>
      <c r="BC7" s="226">
        <v>6</v>
      </c>
      <c r="BE7" s="225" t="s">
        <v>176</v>
      </c>
      <c r="BF7" s="225">
        <v>16</v>
      </c>
    </row>
    <row r="8" spans="1:58" ht="21.75" customHeight="1">
      <c r="A8" s="170"/>
      <c r="B8" s="171">
        <v>4</v>
      </c>
      <c r="C8" s="234" t="s">
        <v>253</v>
      </c>
      <c r="D8" s="234" t="s">
        <v>254</v>
      </c>
      <c r="E8" s="4"/>
      <c r="F8" s="157" t="s">
        <v>4</v>
      </c>
      <c r="G8" s="326" t="s">
        <v>20</v>
      </c>
      <c r="H8" s="326"/>
      <c r="I8" s="326"/>
      <c r="J8" s="326"/>
      <c r="K8" s="326"/>
      <c r="L8" s="326"/>
      <c r="M8" s="4"/>
      <c r="N8" s="4"/>
      <c r="S8" s="225">
        <v>7</v>
      </c>
      <c r="T8" s="225" t="s">
        <v>11</v>
      </c>
      <c r="U8" s="225" t="s">
        <v>20</v>
      </c>
      <c r="V8" s="225" t="str">
        <f>$L$7&amp;".8"</f>
        <v>C0.8</v>
      </c>
      <c r="X8" s="225">
        <f t="shared" si="1"/>
        <v>2015</v>
      </c>
      <c r="Y8" s="225">
        <f t="shared" si="2"/>
        <v>2016</v>
      </c>
      <c r="Z8" s="225" t="str">
        <f t="shared" si="0"/>
        <v>2015-16</v>
      </c>
      <c r="AB8" s="226"/>
      <c r="AC8" s="232" t="str">
        <f>IF(ISNA(VLOOKUP(AC5,$BE$4:$BF$21,2,FALSE)),"F",VLOOKUP(AC5,$BE$4:$BF$21,2,FALSE))</f>
        <v>F</v>
      </c>
      <c r="AD8" s="232" t="b">
        <f>IF(AC8&lt;&gt;"F",IF(AC8&lt;10,"10"&amp;AC8,"1"&amp;AC8))</f>
        <v>0</v>
      </c>
      <c r="AP8" s="226">
        <v>3</v>
      </c>
      <c r="AQ8" s="226">
        <v>10</v>
      </c>
      <c r="AR8" s="226">
        <f t="shared" si="3"/>
        <v>310</v>
      </c>
      <c r="AS8" s="226">
        <v>9</v>
      </c>
      <c r="AT8" s="226">
        <v>0</v>
      </c>
      <c r="BB8" s="226" t="s">
        <v>139</v>
      </c>
      <c r="BC8" s="226">
        <v>4</v>
      </c>
      <c r="BE8" s="225" t="s">
        <v>162</v>
      </c>
      <c r="BF8" s="225">
        <v>2</v>
      </c>
    </row>
    <row r="9" spans="1:58" ht="21.75" customHeight="1">
      <c r="A9" s="170"/>
      <c r="B9" s="171">
        <v>5</v>
      </c>
      <c r="C9" s="234" t="s">
        <v>255</v>
      </c>
      <c r="D9" s="234" t="s">
        <v>256</v>
      </c>
      <c r="E9" s="4"/>
      <c r="F9" s="156" t="s">
        <v>107</v>
      </c>
      <c r="G9" s="327" t="s">
        <v>185</v>
      </c>
      <c r="H9" s="328"/>
      <c r="I9" s="328"/>
      <c r="J9" s="328"/>
      <c r="K9" s="328"/>
      <c r="L9" s="329"/>
      <c r="M9" s="4"/>
      <c r="N9" s="4"/>
      <c r="S9" s="225">
        <v>8</v>
      </c>
      <c r="T9" s="225" t="s">
        <v>12</v>
      </c>
      <c r="U9" s="225" t="s">
        <v>77</v>
      </c>
      <c r="X9" s="225">
        <f t="shared" si="1"/>
        <v>2016</v>
      </c>
      <c r="Y9" s="225">
        <f t="shared" si="2"/>
        <v>2017</v>
      </c>
      <c r="Z9" s="225" t="str">
        <f t="shared" si="0"/>
        <v>2016-17</v>
      </c>
      <c r="AB9" s="226"/>
      <c r="AC9" s="226"/>
      <c r="AD9" s="226"/>
      <c r="AJ9" s="233" t="s">
        <v>180</v>
      </c>
      <c r="AK9" s="233" t="s">
        <v>181</v>
      </c>
      <c r="AP9" s="226">
        <v>3</v>
      </c>
      <c r="AQ9" s="226">
        <v>13</v>
      </c>
      <c r="AR9" s="226">
        <f t="shared" si="3"/>
        <v>313</v>
      </c>
      <c r="AS9" s="226">
        <v>9</v>
      </c>
      <c r="AT9" s="226">
        <v>0</v>
      </c>
      <c r="BB9" s="226" t="s">
        <v>140</v>
      </c>
      <c r="BC9" s="226">
        <v>5</v>
      </c>
      <c r="BE9" s="225" t="s">
        <v>166</v>
      </c>
      <c r="BF9" s="225">
        <v>6</v>
      </c>
    </row>
    <row r="10" spans="1:58" ht="21.75" customHeight="1">
      <c r="A10" s="170"/>
      <c r="B10" s="171">
        <v>6</v>
      </c>
      <c r="C10" s="234" t="s">
        <v>257</v>
      </c>
      <c r="D10" s="234" t="s">
        <v>258</v>
      </c>
      <c r="E10" s="4"/>
      <c r="F10" s="330" t="s">
        <v>158</v>
      </c>
      <c r="G10" s="331"/>
      <c r="H10" s="331"/>
      <c r="I10" s="331"/>
      <c r="J10" s="331"/>
      <c r="K10" s="331"/>
      <c r="L10" s="331"/>
      <c r="M10" s="332"/>
      <c r="N10" s="4"/>
      <c r="T10" s="225" t="s">
        <v>13</v>
      </c>
      <c r="U10" s="225" t="s">
        <v>21</v>
      </c>
      <c r="X10" s="225">
        <f t="shared" si="1"/>
        <v>2017</v>
      </c>
      <c r="Y10" s="225">
        <f t="shared" si="2"/>
        <v>2018</v>
      </c>
      <c r="Z10" s="225" t="str">
        <f t="shared" si="0"/>
        <v>2017-18</v>
      </c>
      <c r="AB10" s="226"/>
      <c r="AC10" s="226"/>
      <c r="AD10" s="226"/>
      <c r="AJ10" s="233">
        <v>51</v>
      </c>
      <c r="AK10" s="233">
        <v>301</v>
      </c>
      <c r="AP10" s="226">
        <v>4</v>
      </c>
      <c r="AQ10" s="226">
        <v>10</v>
      </c>
      <c r="AR10" s="226">
        <f t="shared" si="3"/>
        <v>410</v>
      </c>
      <c r="AS10" s="226">
        <v>9</v>
      </c>
      <c r="AT10" s="226">
        <v>8</v>
      </c>
      <c r="BB10" s="226" t="s">
        <v>141</v>
      </c>
      <c r="BC10" s="226">
        <v>6</v>
      </c>
      <c r="BE10" s="225" t="s">
        <v>164</v>
      </c>
      <c r="BF10" s="225">
        <v>4</v>
      </c>
    </row>
    <row r="11" spans="1:58" ht="21.75" customHeight="1">
      <c r="A11" s="170"/>
      <c r="B11" s="171">
        <v>7</v>
      </c>
      <c r="C11" s="234" t="s">
        <v>259</v>
      </c>
      <c r="D11" s="234" t="s">
        <v>260</v>
      </c>
      <c r="E11" s="308"/>
      <c r="F11" s="174" t="s">
        <v>40</v>
      </c>
      <c r="G11" s="323" t="s">
        <v>110</v>
      </c>
      <c r="H11" s="324"/>
      <c r="I11" s="324"/>
      <c r="J11" s="324"/>
      <c r="K11" s="324"/>
      <c r="L11" s="324"/>
      <c r="M11" s="325"/>
      <c r="N11" s="173"/>
      <c r="T11" s="225" t="s">
        <v>14</v>
      </c>
      <c r="U11" s="225" t="s">
        <v>22</v>
      </c>
      <c r="X11" s="225">
        <f t="shared" si="1"/>
        <v>2018</v>
      </c>
      <c r="Y11" s="225">
        <f t="shared" si="2"/>
        <v>2019</v>
      </c>
      <c r="Z11" s="225" t="str">
        <f t="shared" si="0"/>
        <v>2018-19</v>
      </c>
      <c r="AJ11" s="233">
        <v>52</v>
      </c>
      <c r="AK11" s="233">
        <v>302</v>
      </c>
      <c r="AP11" s="226">
        <v>4</v>
      </c>
      <c r="AQ11" s="226">
        <v>13</v>
      </c>
      <c r="AR11" s="226">
        <f t="shared" si="3"/>
        <v>413</v>
      </c>
      <c r="AS11" s="226">
        <v>9</v>
      </c>
      <c r="AT11" s="226">
        <v>8</v>
      </c>
      <c r="BB11" s="226" t="s">
        <v>142</v>
      </c>
      <c r="BC11" s="226">
        <v>2</v>
      </c>
      <c r="BE11" s="225" t="s">
        <v>173</v>
      </c>
      <c r="BF11" s="225">
        <v>13</v>
      </c>
    </row>
    <row r="12" spans="1:58" ht="21.75" customHeight="1">
      <c r="A12" s="170"/>
      <c r="B12" s="171">
        <v>8</v>
      </c>
      <c r="C12" s="234" t="s">
        <v>261</v>
      </c>
      <c r="D12" s="234" t="s">
        <v>262</v>
      </c>
      <c r="E12" s="308"/>
      <c r="F12" s="310" t="str">
        <f>V1</f>
        <v>C0.1</v>
      </c>
      <c r="G12" s="311" t="s">
        <v>186</v>
      </c>
      <c r="H12" s="311"/>
      <c r="I12" s="311"/>
      <c r="J12" s="311"/>
      <c r="K12" s="311"/>
      <c r="L12" s="311"/>
      <c r="M12" s="311"/>
      <c r="N12" s="155"/>
      <c r="T12" s="225" t="s">
        <v>51</v>
      </c>
      <c r="U12" s="225" t="s">
        <v>23</v>
      </c>
      <c r="X12" s="225">
        <f t="shared" si="1"/>
        <v>2019</v>
      </c>
      <c r="Y12" s="225">
        <f t="shared" si="2"/>
        <v>2020</v>
      </c>
      <c r="Z12" s="225" t="str">
        <f t="shared" si="0"/>
        <v>2019-20</v>
      </c>
      <c r="AJ12" s="233">
        <v>53</v>
      </c>
      <c r="AK12" s="233">
        <v>303</v>
      </c>
      <c r="AP12" s="226">
        <v>5</v>
      </c>
      <c r="AQ12" s="226">
        <v>10</v>
      </c>
      <c r="AR12" s="226">
        <f t="shared" si="3"/>
        <v>510</v>
      </c>
      <c r="AS12" s="226">
        <v>12</v>
      </c>
      <c r="AT12" s="226">
        <v>0</v>
      </c>
      <c r="BB12" s="226" t="s">
        <v>143</v>
      </c>
      <c r="BC12" s="226">
        <v>7</v>
      </c>
      <c r="BE12" s="225" t="s">
        <v>168</v>
      </c>
      <c r="BF12" s="225">
        <v>8</v>
      </c>
    </row>
    <row r="13" spans="1:58" ht="21.75" customHeight="1">
      <c r="A13" s="170"/>
      <c r="B13" s="171">
        <v>9</v>
      </c>
      <c r="C13" s="234" t="s">
        <v>263</v>
      </c>
      <c r="D13" s="234" t="s">
        <v>264</v>
      </c>
      <c r="E13" s="308"/>
      <c r="F13" s="310"/>
      <c r="G13" s="311"/>
      <c r="H13" s="311"/>
      <c r="I13" s="311"/>
      <c r="J13" s="311"/>
      <c r="K13" s="311"/>
      <c r="L13" s="311"/>
      <c r="M13" s="311"/>
      <c r="N13" s="155"/>
      <c r="T13" s="225" t="s">
        <v>15</v>
      </c>
      <c r="U13" s="225" t="s">
        <v>50</v>
      </c>
      <c r="X13" s="225">
        <f t="shared" si="1"/>
        <v>2020</v>
      </c>
      <c r="Y13" s="225">
        <f t="shared" si="2"/>
        <v>2021</v>
      </c>
      <c r="Z13" s="225" t="str">
        <f t="shared" si="0"/>
        <v>2020-21</v>
      </c>
      <c r="AJ13" s="233">
        <v>54</v>
      </c>
      <c r="AK13" s="233">
        <v>304</v>
      </c>
      <c r="AP13" s="226">
        <v>5</v>
      </c>
      <c r="AQ13" s="226">
        <v>13</v>
      </c>
      <c r="AR13" s="226">
        <f t="shared" si="3"/>
        <v>513</v>
      </c>
      <c r="AS13" s="226">
        <v>8</v>
      </c>
      <c r="AT13" s="226">
        <v>0</v>
      </c>
      <c r="BB13" s="226" t="s">
        <v>144</v>
      </c>
      <c r="BC13" s="226">
        <v>2</v>
      </c>
      <c r="BE13" s="225" t="s">
        <v>169</v>
      </c>
      <c r="BF13" s="225">
        <v>9</v>
      </c>
    </row>
    <row r="14" spans="1:58" ht="21.75" customHeight="1">
      <c r="A14" s="170"/>
      <c r="B14" s="171">
        <v>10</v>
      </c>
      <c r="C14" s="234" t="s">
        <v>265</v>
      </c>
      <c r="D14" s="234" t="s">
        <v>266</v>
      </c>
      <c r="E14" s="308"/>
      <c r="F14" s="310" t="str">
        <f>V2</f>
        <v>C0.2</v>
      </c>
      <c r="G14" s="309" t="s">
        <v>187</v>
      </c>
      <c r="H14" s="309"/>
      <c r="I14" s="309"/>
      <c r="J14" s="309"/>
      <c r="K14" s="309"/>
      <c r="L14" s="309"/>
      <c r="M14" s="309"/>
      <c r="N14" s="155"/>
      <c r="U14" s="225" t="s">
        <v>24</v>
      </c>
      <c r="X14" s="225">
        <f t="shared" si="1"/>
        <v>2021</v>
      </c>
      <c r="Y14" s="225">
        <f t="shared" si="2"/>
        <v>2022</v>
      </c>
      <c r="Z14" s="225" t="str">
        <f t="shared" si="0"/>
        <v>2021-22</v>
      </c>
      <c r="AJ14" s="233">
        <v>55</v>
      </c>
      <c r="AK14" s="233">
        <v>305</v>
      </c>
      <c r="AP14" s="226">
        <v>6</v>
      </c>
      <c r="AQ14" s="226">
        <v>10</v>
      </c>
      <c r="AR14" s="226">
        <f t="shared" si="3"/>
        <v>610</v>
      </c>
      <c r="AS14" s="226">
        <v>12</v>
      </c>
      <c r="AT14" s="226">
        <v>8</v>
      </c>
      <c r="BB14" s="226" t="s">
        <v>145</v>
      </c>
      <c r="BC14" s="226">
        <v>7</v>
      </c>
      <c r="BE14" s="225" t="s">
        <v>177</v>
      </c>
      <c r="BF14" s="225">
        <v>17</v>
      </c>
    </row>
    <row r="15" spans="1:58" ht="21.75" customHeight="1">
      <c r="A15" s="170"/>
      <c r="B15" s="171">
        <v>11</v>
      </c>
      <c r="C15" s="234" t="s">
        <v>267</v>
      </c>
      <c r="D15" s="234" t="s">
        <v>268</v>
      </c>
      <c r="E15" s="308"/>
      <c r="F15" s="310"/>
      <c r="G15" s="309"/>
      <c r="H15" s="309"/>
      <c r="I15" s="309"/>
      <c r="J15" s="309"/>
      <c r="K15" s="309"/>
      <c r="L15" s="309"/>
      <c r="M15" s="309"/>
      <c r="N15" s="155"/>
      <c r="U15" s="225" t="s">
        <v>25</v>
      </c>
      <c r="X15" s="225">
        <f t="shared" si="1"/>
        <v>2022</v>
      </c>
      <c r="Y15" s="225">
        <f t="shared" si="2"/>
        <v>2023</v>
      </c>
      <c r="Z15" s="225" t="str">
        <f t="shared" si="0"/>
        <v>2022-23</v>
      </c>
      <c r="AJ15" s="233">
        <v>56</v>
      </c>
      <c r="AK15" s="233">
        <v>306</v>
      </c>
      <c r="AP15" s="226">
        <v>6</v>
      </c>
      <c r="AQ15" s="226">
        <v>13</v>
      </c>
      <c r="AR15" s="226">
        <f t="shared" si="3"/>
        <v>613</v>
      </c>
      <c r="AS15" s="226">
        <v>12</v>
      </c>
      <c r="AT15" s="226">
        <v>8</v>
      </c>
      <c r="BB15" s="226" t="s">
        <v>146</v>
      </c>
      <c r="BC15" s="226">
        <v>3</v>
      </c>
      <c r="BE15" s="225" t="s">
        <v>178</v>
      </c>
      <c r="BF15" s="225">
        <v>18</v>
      </c>
    </row>
    <row r="16" spans="1:58" ht="21.75" customHeight="1">
      <c r="A16" s="170"/>
      <c r="B16" s="171">
        <v>12</v>
      </c>
      <c r="C16" s="234" t="s">
        <v>269</v>
      </c>
      <c r="D16" s="234" t="s">
        <v>270</v>
      </c>
      <c r="E16" s="308"/>
      <c r="F16" s="310" t="str">
        <f>V3</f>
        <v>C0.3</v>
      </c>
      <c r="G16" s="309" t="s">
        <v>190</v>
      </c>
      <c r="H16" s="309"/>
      <c r="I16" s="309"/>
      <c r="J16" s="309"/>
      <c r="K16" s="309"/>
      <c r="L16" s="309"/>
      <c r="M16" s="309"/>
      <c r="N16" s="155"/>
      <c r="X16" s="225">
        <f t="shared" si="1"/>
        <v>2023</v>
      </c>
      <c r="Y16" s="225">
        <f t="shared" si="2"/>
        <v>2024</v>
      </c>
      <c r="Z16" s="225" t="str">
        <f t="shared" si="0"/>
        <v>2023-24</v>
      </c>
      <c r="AJ16" s="233">
        <v>57</v>
      </c>
      <c r="AK16" s="233">
        <v>307</v>
      </c>
      <c r="AP16" s="226">
        <v>7</v>
      </c>
      <c r="AQ16" s="226">
        <v>10</v>
      </c>
      <c r="AR16" s="226">
        <f t="shared" si="3"/>
        <v>710</v>
      </c>
      <c r="AS16" s="226">
        <v>16</v>
      </c>
      <c r="AT16" s="226">
        <v>0</v>
      </c>
      <c r="BB16" s="226" t="s">
        <v>147</v>
      </c>
      <c r="BC16" s="226">
        <v>8</v>
      </c>
      <c r="BE16" s="225" t="s">
        <v>170</v>
      </c>
      <c r="BF16" s="225">
        <v>10</v>
      </c>
    </row>
    <row r="17" spans="1:58" ht="21.75" customHeight="1">
      <c r="A17" s="170"/>
      <c r="B17" s="171">
        <v>13</v>
      </c>
      <c r="C17" s="234" t="s">
        <v>271</v>
      </c>
      <c r="D17" s="234" t="s">
        <v>272</v>
      </c>
      <c r="E17" s="308"/>
      <c r="F17" s="310"/>
      <c r="G17" s="309"/>
      <c r="H17" s="309"/>
      <c r="I17" s="309"/>
      <c r="J17" s="309"/>
      <c r="K17" s="309"/>
      <c r="L17" s="309"/>
      <c r="M17" s="309"/>
      <c r="N17" s="155"/>
      <c r="AJ17" s="233">
        <v>58</v>
      </c>
      <c r="AK17" s="233">
        <v>308</v>
      </c>
      <c r="AP17" s="226">
        <v>7</v>
      </c>
      <c r="AQ17" s="226">
        <v>13</v>
      </c>
      <c r="AR17" s="226">
        <f t="shared" si="3"/>
        <v>713</v>
      </c>
      <c r="AS17" s="226">
        <v>16</v>
      </c>
      <c r="AT17" s="226">
        <v>0</v>
      </c>
      <c r="BB17" s="226" t="s">
        <v>149</v>
      </c>
      <c r="BC17" s="226">
        <v>3</v>
      </c>
      <c r="BE17" s="225" t="s">
        <v>165</v>
      </c>
      <c r="BF17" s="225">
        <v>5</v>
      </c>
    </row>
    <row r="18" spans="1:58" ht="21.75" customHeight="1">
      <c r="A18" s="170"/>
      <c r="B18" s="171">
        <v>14</v>
      </c>
      <c r="C18" s="234" t="s">
        <v>273</v>
      </c>
      <c r="D18" s="234" t="s">
        <v>274</v>
      </c>
      <c r="E18" s="308"/>
      <c r="F18" s="310" t="str">
        <f>V4</f>
        <v>C0.4</v>
      </c>
      <c r="G18" s="309" t="s">
        <v>188</v>
      </c>
      <c r="H18" s="309"/>
      <c r="I18" s="309"/>
      <c r="J18" s="309"/>
      <c r="K18" s="309"/>
      <c r="L18" s="309"/>
      <c r="M18" s="309"/>
      <c r="N18" s="155"/>
      <c r="AJ18" s="233">
        <v>61</v>
      </c>
      <c r="AK18" s="233">
        <v>309</v>
      </c>
      <c r="AP18" s="226">
        <v>8</v>
      </c>
      <c r="AQ18" s="226">
        <v>10</v>
      </c>
      <c r="AR18" s="226">
        <f t="shared" si="3"/>
        <v>810</v>
      </c>
      <c r="AS18" s="226">
        <v>11</v>
      </c>
      <c r="AT18" s="226">
        <f>AS17</f>
        <v>16</v>
      </c>
      <c r="BB18" s="226" t="s">
        <v>151</v>
      </c>
      <c r="BC18" s="226">
        <v>8</v>
      </c>
      <c r="BE18" s="225" t="s">
        <v>174</v>
      </c>
      <c r="BF18" s="225">
        <v>14</v>
      </c>
    </row>
    <row r="19" spans="1:58" ht="21.75" customHeight="1">
      <c r="A19" s="170"/>
      <c r="B19" s="171">
        <v>15</v>
      </c>
      <c r="C19" s="234" t="s">
        <v>275</v>
      </c>
      <c r="D19" s="234" t="s">
        <v>276</v>
      </c>
      <c r="E19" s="308"/>
      <c r="F19" s="310"/>
      <c r="G19" s="309"/>
      <c r="H19" s="309"/>
      <c r="I19" s="309"/>
      <c r="J19" s="309"/>
      <c r="K19" s="309"/>
      <c r="L19" s="309"/>
      <c r="M19" s="309"/>
      <c r="N19" s="155"/>
      <c r="AJ19" s="233">
        <v>62</v>
      </c>
      <c r="AK19" s="233">
        <v>310</v>
      </c>
      <c r="AP19" s="226">
        <v>8</v>
      </c>
      <c r="AQ19" s="226">
        <v>13</v>
      </c>
      <c r="AR19" s="226">
        <f t="shared" si="3"/>
        <v>813</v>
      </c>
      <c r="AS19" s="226">
        <v>11</v>
      </c>
      <c r="AT19" s="226">
        <v>16</v>
      </c>
      <c r="BB19" s="226" t="s">
        <v>148</v>
      </c>
      <c r="BC19" s="226">
        <v>9</v>
      </c>
      <c r="BE19" s="225" t="s">
        <v>171</v>
      </c>
      <c r="BF19" s="225">
        <v>11</v>
      </c>
    </row>
    <row r="20" spans="1:58" ht="21.75" customHeight="1">
      <c r="A20" s="170"/>
      <c r="B20" s="171">
        <v>16</v>
      </c>
      <c r="C20" s="234" t="s">
        <v>277</v>
      </c>
      <c r="D20" s="234" t="s">
        <v>278</v>
      </c>
      <c r="E20" s="308"/>
      <c r="F20" s="310" t="str">
        <f>V5</f>
        <v>C0.5</v>
      </c>
      <c r="G20" s="309" t="s">
        <v>189</v>
      </c>
      <c r="H20" s="309"/>
      <c r="I20" s="309"/>
      <c r="J20" s="309"/>
      <c r="K20" s="309"/>
      <c r="L20" s="309"/>
      <c r="M20" s="309"/>
      <c r="N20" s="155"/>
      <c r="AJ20" s="233">
        <v>63</v>
      </c>
      <c r="AK20" s="233">
        <v>311</v>
      </c>
      <c r="BB20" s="226" t="s">
        <v>150</v>
      </c>
      <c r="BC20" s="226">
        <v>11</v>
      </c>
      <c r="BE20" s="225" t="s">
        <v>175</v>
      </c>
      <c r="BF20" s="225">
        <v>15</v>
      </c>
    </row>
    <row r="21" spans="1:58" ht="21.75" customHeight="1">
      <c r="A21" s="170"/>
      <c r="B21" s="171">
        <v>17</v>
      </c>
      <c r="C21" s="234" t="s">
        <v>279</v>
      </c>
      <c r="D21" s="234" t="s">
        <v>280</v>
      </c>
      <c r="E21" s="308"/>
      <c r="F21" s="310"/>
      <c r="G21" s="309"/>
      <c r="H21" s="309"/>
      <c r="I21" s="309"/>
      <c r="J21" s="309"/>
      <c r="K21" s="309"/>
      <c r="L21" s="309"/>
      <c r="M21" s="309"/>
      <c r="N21" s="155"/>
      <c r="AJ21" s="233">
        <v>64</v>
      </c>
      <c r="AK21" s="233">
        <v>312</v>
      </c>
      <c r="BB21" s="226" t="s">
        <v>154</v>
      </c>
      <c r="BC21" s="226">
        <v>9</v>
      </c>
      <c r="BE21" s="225" t="s">
        <v>167</v>
      </c>
      <c r="BF21" s="225">
        <v>7</v>
      </c>
    </row>
    <row r="22" spans="1:58" ht="21.75" customHeight="1">
      <c r="A22" s="170"/>
      <c r="B22" s="171">
        <v>18</v>
      </c>
      <c r="C22" s="234" t="s">
        <v>281</v>
      </c>
      <c r="D22" s="234" t="s">
        <v>282</v>
      </c>
      <c r="E22" s="308"/>
      <c r="F22" s="310" t="str">
        <f>V6</f>
        <v>C0.6</v>
      </c>
      <c r="G22" s="309"/>
      <c r="H22" s="309"/>
      <c r="I22" s="309"/>
      <c r="J22" s="309"/>
      <c r="K22" s="309"/>
      <c r="L22" s="309"/>
      <c r="M22" s="309"/>
      <c r="N22" s="155"/>
      <c r="AJ22" s="233">
        <v>65</v>
      </c>
      <c r="AK22" s="233">
        <v>313</v>
      </c>
      <c r="BB22" s="226" t="s">
        <v>155</v>
      </c>
      <c r="BC22" s="226">
        <v>11</v>
      </c>
    </row>
    <row r="23" spans="1:58" ht="21.75" customHeight="1">
      <c r="A23" s="170"/>
      <c r="B23" s="171">
        <v>19</v>
      </c>
      <c r="C23" s="234" t="s">
        <v>283</v>
      </c>
      <c r="D23" s="234" t="s">
        <v>284</v>
      </c>
      <c r="E23" s="308"/>
      <c r="F23" s="310"/>
      <c r="G23" s="309"/>
      <c r="H23" s="309"/>
      <c r="I23" s="309"/>
      <c r="J23" s="309"/>
      <c r="K23" s="309"/>
      <c r="L23" s="309"/>
      <c r="M23" s="309"/>
      <c r="N23" s="155"/>
      <c r="AJ23" s="233">
        <v>67</v>
      </c>
      <c r="AK23" s="233">
        <v>319</v>
      </c>
      <c r="BB23" s="226" t="s">
        <v>152</v>
      </c>
      <c r="BC23" s="226">
        <v>10</v>
      </c>
    </row>
    <row r="24" spans="1:58" ht="21.75" customHeight="1">
      <c r="A24" s="170"/>
      <c r="B24" s="171">
        <v>20</v>
      </c>
      <c r="C24" s="234" t="s">
        <v>285</v>
      </c>
      <c r="D24" s="234" t="s">
        <v>286</v>
      </c>
      <c r="E24" s="308"/>
      <c r="F24" s="310" t="str">
        <f>V7</f>
        <v>C0.7</v>
      </c>
      <c r="G24" s="309"/>
      <c r="H24" s="309"/>
      <c r="I24" s="309"/>
      <c r="J24" s="309"/>
      <c r="K24" s="309"/>
      <c r="L24" s="309"/>
      <c r="M24" s="309"/>
      <c r="N24" s="155"/>
      <c r="AJ24" s="233">
        <v>68</v>
      </c>
      <c r="AK24" s="233">
        <v>320</v>
      </c>
      <c r="BB24" s="226" t="s">
        <v>153</v>
      </c>
      <c r="BC24" s="226">
        <v>12</v>
      </c>
    </row>
    <row r="25" spans="1:58" ht="21.75" customHeight="1">
      <c r="A25" s="170"/>
      <c r="B25" s="171">
        <v>21</v>
      </c>
      <c r="C25" s="234" t="s">
        <v>287</v>
      </c>
      <c r="D25" s="234" t="s">
        <v>288</v>
      </c>
      <c r="E25" s="308"/>
      <c r="F25" s="310"/>
      <c r="G25" s="309"/>
      <c r="H25" s="309"/>
      <c r="I25" s="309"/>
      <c r="J25" s="309"/>
      <c r="K25" s="309"/>
      <c r="L25" s="309"/>
      <c r="M25" s="309"/>
      <c r="N25" s="155"/>
      <c r="AJ25" s="233">
        <v>71</v>
      </c>
      <c r="AK25" s="233">
        <v>401</v>
      </c>
      <c r="BB25" s="226" t="s">
        <v>156</v>
      </c>
      <c r="BC25" s="226">
        <v>10</v>
      </c>
    </row>
    <row r="26" spans="1:58" ht="21.75" customHeight="1">
      <c r="A26" s="170"/>
      <c r="B26" s="171">
        <v>22</v>
      </c>
      <c r="C26" s="234" t="s">
        <v>289</v>
      </c>
      <c r="D26" s="234" t="s">
        <v>290</v>
      </c>
      <c r="E26" s="308"/>
      <c r="F26" s="310" t="str">
        <f>V8</f>
        <v>C0.8</v>
      </c>
      <c r="G26" s="309"/>
      <c r="H26" s="309"/>
      <c r="I26" s="309"/>
      <c r="J26" s="309"/>
      <c r="K26" s="309"/>
      <c r="L26" s="309"/>
      <c r="M26" s="309"/>
      <c r="N26" s="155"/>
      <c r="AJ26" s="233">
        <v>72</v>
      </c>
      <c r="AK26" s="233">
        <v>402</v>
      </c>
      <c r="BB26" s="226" t="s">
        <v>157</v>
      </c>
      <c r="BC26" s="226">
        <v>12</v>
      </c>
    </row>
    <row r="27" spans="1:58" ht="21.75" customHeight="1">
      <c r="A27" s="170"/>
      <c r="B27" s="171">
        <v>23</v>
      </c>
      <c r="C27" s="234" t="s">
        <v>291</v>
      </c>
      <c r="D27" s="234" t="s">
        <v>292</v>
      </c>
      <c r="E27" s="308"/>
      <c r="F27" s="310"/>
      <c r="G27" s="309"/>
      <c r="H27" s="309"/>
      <c r="I27" s="309"/>
      <c r="J27" s="309"/>
      <c r="K27" s="309"/>
      <c r="L27" s="309"/>
      <c r="M27" s="309"/>
      <c r="N27" s="155"/>
      <c r="AJ27" s="233">
        <v>73</v>
      </c>
      <c r="AK27" s="233">
        <v>403</v>
      </c>
    </row>
    <row r="28" spans="1:58" ht="21.75" customHeight="1">
      <c r="A28" s="170"/>
      <c r="B28" s="171">
        <v>24</v>
      </c>
      <c r="C28" s="234" t="s">
        <v>293</v>
      </c>
      <c r="D28" s="234" t="s">
        <v>294</v>
      </c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33">
        <v>76</v>
      </c>
      <c r="AK28" s="233">
        <v>415</v>
      </c>
      <c r="AL28" s="226"/>
      <c r="AM28" s="226"/>
    </row>
    <row r="29" spans="1:58" ht="21.75" customHeight="1">
      <c r="A29" s="170"/>
      <c r="B29" s="171">
        <v>25</v>
      </c>
      <c r="C29" s="234" t="s">
        <v>295</v>
      </c>
      <c r="D29" s="234" t="s">
        <v>296</v>
      </c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33">
        <v>77</v>
      </c>
      <c r="AK29" s="233">
        <v>416</v>
      </c>
    </row>
    <row r="30" spans="1:58" ht="21.75" customHeight="1">
      <c r="A30" s="170"/>
      <c r="B30" s="171">
        <v>26</v>
      </c>
      <c r="C30" s="234" t="s">
        <v>297</v>
      </c>
      <c r="D30" s="234" t="s">
        <v>298</v>
      </c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33">
        <v>78</v>
      </c>
      <c r="AK30" s="233">
        <v>417</v>
      </c>
    </row>
    <row r="31" spans="1:58" ht="21.75" customHeight="1">
      <c r="A31" s="170"/>
      <c r="B31" s="171">
        <v>27</v>
      </c>
      <c r="C31" s="234" t="s">
        <v>299</v>
      </c>
      <c r="D31" s="234" t="s">
        <v>300</v>
      </c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33">
        <v>81</v>
      </c>
      <c r="AK31" s="233">
        <v>418</v>
      </c>
      <c r="AM31" s="226"/>
    </row>
    <row r="32" spans="1:58" ht="21.75" customHeight="1">
      <c r="A32" s="170"/>
      <c r="B32" s="171">
        <v>28</v>
      </c>
      <c r="C32" s="234" t="s">
        <v>301</v>
      </c>
      <c r="D32" s="234" t="s">
        <v>302</v>
      </c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33">
        <v>82</v>
      </c>
      <c r="AK32" s="233">
        <v>419</v>
      </c>
      <c r="AM32" s="226"/>
    </row>
    <row r="33" spans="1:39" ht="21.75" customHeight="1">
      <c r="A33" s="170"/>
      <c r="B33" s="171">
        <v>29</v>
      </c>
      <c r="C33" s="234" t="s">
        <v>303</v>
      </c>
      <c r="D33" s="234" t="s">
        <v>304</v>
      </c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33">
        <v>85</v>
      </c>
      <c r="AK33" s="233">
        <v>428</v>
      </c>
      <c r="AL33" s="226"/>
      <c r="AM33" s="226"/>
    </row>
    <row r="34" spans="1:39" ht="21.75" customHeight="1">
      <c r="A34" s="170"/>
      <c r="B34" s="171">
        <v>30</v>
      </c>
      <c r="C34" s="234" t="s">
        <v>305</v>
      </c>
      <c r="D34" s="234" t="s">
        <v>306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33">
        <v>661</v>
      </c>
      <c r="AK34" s="233">
        <v>314</v>
      </c>
    </row>
    <row r="35" spans="1:39" ht="21.75" customHeight="1">
      <c r="A35" s="170"/>
      <c r="B35" s="171">
        <v>31</v>
      </c>
      <c r="C35" s="234" t="s">
        <v>307</v>
      </c>
      <c r="D35" s="234" t="s">
        <v>308</v>
      </c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33">
        <v>662</v>
      </c>
      <c r="AK35" s="233">
        <v>315</v>
      </c>
    </row>
    <row r="36" spans="1:39" ht="21.75" customHeight="1">
      <c r="A36" s="170"/>
      <c r="B36" s="171">
        <v>32</v>
      </c>
      <c r="C36" s="234" t="s">
        <v>309</v>
      </c>
      <c r="D36" s="234" t="s">
        <v>310</v>
      </c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33">
        <v>663</v>
      </c>
      <c r="AK36" s="233">
        <v>316</v>
      </c>
    </row>
    <row r="37" spans="1:39" ht="21.75" customHeight="1">
      <c r="A37" s="170"/>
      <c r="B37" s="171">
        <v>33</v>
      </c>
      <c r="C37" s="234" t="s">
        <v>311</v>
      </c>
      <c r="D37" s="234" t="s">
        <v>312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33">
        <v>664</v>
      </c>
      <c r="AK37" s="233">
        <v>317</v>
      </c>
    </row>
    <row r="38" spans="1:39" ht="21.75" customHeight="1">
      <c r="A38" s="170"/>
      <c r="B38" s="171">
        <v>34</v>
      </c>
      <c r="C38" s="234" t="s">
        <v>313</v>
      </c>
      <c r="D38" s="234" t="s">
        <v>314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33">
        <v>665</v>
      </c>
      <c r="AK38" s="233">
        <v>318</v>
      </c>
    </row>
    <row r="39" spans="1:39" ht="21.75" customHeight="1">
      <c r="A39" s="170"/>
      <c r="B39" s="171">
        <v>35</v>
      </c>
      <c r="C39" s="234" t="s">
        <v>315</v>
      </c>
      <c r="D39" s="234" t="s">
        <v>316</v>
      </c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33">
        <v>741</v>
      </c>
      <c r="AK39" s="233">
        <v>404</v>
      </c>
      <c r="AM39" s="226"/>
    </row>
    <row r="40" spans="1:39" ht="21.75" customHeight="1">
      <c r="A40" s="170"/>
      <c r="B40" s="171">
        <v>36</v>
      </c>
      <c r="C40" s="234" t="s">
        <v>317</v>
      </c>
      <c r="D40" s="234" t="s">
        <v>318</v>
      </c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33">
        <v>742</v>
      </c>
      <c r="AK40" s="233">
        <v>405</v>
      </c>
      <c r="AM40" s="226"/>
    </row>
    <row r="41" spans="1:39" ht="21.75" customHeight="1">
      <c r="A41" s="170"/>
      <c r="B41" s="171">
        <v>37</v>
      </c>
      <c r="C41" s="234" t="s">
        <v>319</v>
      </c>
      <c r="D41" s="234" t="s">
        <v>320</v>
      </c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33">
        <v>743</v>
      </c>
      <c r="AK41" s="233">
        <v>406</v>
      </c>
      <c r="AM41" s="226"/>
    </row>
    <row r="42" spans="1:39" ht="21.75" customHeight="1">
      <c r="A42" s="170"/>
      <c r="B42" s="171">
        <v>38</v>
      </c>
      <c r="C42" s="234" t="s">
        <v>321</v>
      </c>
      <c r="D42" s="234" t="s">
        <v>322</v>
      </c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33">
        <v>744</v>
      </c>
      <c r="AK42" s="233">
        <v>407</v>
      </c>
      <c r="AM42" s="226"/>
    </row>
    <row r="43" spans="1:39" ht="21.75" customHeight="1">
      <c r="A43" s="170"/>
      <c r="B43" s="171">
        <v>39</v>
      </c>
      <c r="C43" s="234" t="s">
        <v>323</v>
      </c>
      <c r="D43" s="234" t="s">
        <v>324</v>
      </c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33">
        <v>745</v>
      </c>
      <c r="AK43" s="233">
        <v>408</v>
      </c>
      <c r="AM43" s="226"/>
    </row>
    <row r="44" spans="1:39" ht="21.75" customHeight="1">
      <c r="A44" s="170"/>
      <c r="B44" s="171">
        <v>40</v>
      </c>
      <c r="C44" s="234" t="s">
        <v>325</v>
      </c>
      <c r="D44" s="234" t="s">
        <v>326</v>
      </c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33">
        <v>751</v>
      </c>
      <c r="AK44" s="233">
        <v>409</v>
      </c>
      <c r="AL44" s="226"/>
      <c r="AM44" s="226"/>
    </row>
    <row r="45" spans="1:39" ht="21.75" customHeight="1">
      <c r="A45" s="170"/>
      <c r="B45" s="171">
        <v>41</v>
      </c>
      <c r="C45" s="234" t="s">
        <v>327</v>
      </c>
      <c r="D45" s="234" t="s">
        <v>328</v>
      </c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33">
        <v>752</v>
      </c>
      <c r="AK45" s="233">
        <v>410</v>
      </c>
      <c r="AL45" s="226"/>
      <c r="AM45" s="226"/>
    </row>
    <row r="46" spans="1:39" ht="21.75" customHeight="1">
      <c r="A46" s="170"/>
      <c r="B46" s="171">
        <v>42</v>
      </c>
      <c r="C46" s="234" t="s">
        <v>329</v>
      </c>
      <c r="D46" s="234" t="s">
        <v>330</v>
      </c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33">
        <v>753</v>
      </c>
      <c r="AK46" s="233">
        <v>411</v>
      </c>
      <c r="AL46" s="226"/>
      <c r="AM46" s="226"/>
    </row>
    <row r="47" spans="1:39" ht="21.75" customHeight="1">
      <c r="A47" s="170"/>
      <c r="B47" s="171">
        <v>43</v>
      </c>
      <c r="C47" s="234" t="s">
        <v>331</v>
      </c>
      <c r="D47" s="234" t="s">
        <v>332</v>
      </c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33">
        <v>754</v>
      </c>
      <c r="AK47" s="233">
        <v>412</v>
      </c>
      <c r="AL47" s="226"/>
      <c r="AM47" s="226"/>
    </row>
    <row r="48" spans="1:39" ht="21.75" customHeight="1">
      <c r="A48" s="170"/>
      <c r="B48" s="171">
        <v>44</v>
      </c>
      <c r="C48" s="234" t="s">
        <v>333</v>
      </c>
      <c r="D48" s="234" t="s">
        <v>334</v>
      </c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33">
        <v>755</v>
      </c>
      <c r="AK48" s="233">
        <v>413</v>
      </c>
      <c r="AL48" s="226"/>
      <c r="AM48" s="226"/>
    </row>
    <row r="49" spans="1:39" ht="21.75" customHeight="1">
      <c r="A49" s="170"/>
      <c r="B49" s="171">
        <v>45</v>
      </c>
      <c r="C49" s="234" t="s">
        <v>335</v>
      </c>
      <c r="D49" s="234" t="s">
        <v>336</v>
      </c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33">
        <v>831</v>
      </c>
      <c r="AK49" s="233">
        <v>420</v>
      </c>
      <c r="AM49" s="226"/>
    </row>
    <row r="50" spans="1:39" ht="21.75" customHeight="1">
      <c r="A50" s="170"/>
      <c r="B50" s="171">
        <v>46</v>
      </c>
      <c r="C50" s="234" t="s">
        <v>337</v>
      </c>
      <c r="D50" s="234" t="s">
        <v>338</v>
      </c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33">
        <v>832</v>
      </c>
      <c r="AK50" s="233">
        <v>421</v>
      </c>
      <c r="AM50" s="226"/>
    </row>
    <row r="51" spans="1:39" ht="21.75" customHeight="1">
      <c r="A51" s="170"/>
      <c r="B51" s="171">
        <v>47</v>
      </c>
      <c r="C51" s="234" t="s">
        <v>339</v>
      </c>
      <c r="D51" s="234" t="s">
        <v>340</v>
      </c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33">
        <v>833</v>
      </c>
      <c r="AK51" s="233">
        <v>422</v>
      </c>
      <c r="AM51" s="226"/>
    </row>
    <row r="52" spans="1:39" ht="21.75" customHeight="1">
      <c r="A52" s="170"/>
      <c r="B52" s="171">
        <v>48</v>
      </c>
      <c r="C52" s="234" t="s">
        <v>341</v>
      </c>
      <c r="D52" s="234" t="s">
        <v>342</v>
      </c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33">
        <v>834</v>
      </c>
      <c r="AK52" s="233">
        <v>423</v>
      </c>
      <c r="AM52" s="226"/>
    </row>
    <row r="53" spans="1:39" ht="21.75" customHeight="1">
      <c r="A53" s="170"/>
      <c r="B53" s="171">
        <v>49</v>
      </c>
      <c r="C53" s="234" t="s">
        <v>343</v>
      </c>
      <c r="D53" s="234" t="s">
        <v>344</v>
      </c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33">
        <v>841</v>
      </c>
      <c r="AK53" s="233">
        <v>424</v>
      </c>
      <c r="AL53" s="226"/>
      <c r="AM53" s="226"/>
    </row>
    <row r="54" spans="1:39" ht="21.75" customHeight="1">
      <c r="A54" s="170"/>
      <c r="B54" s="171">
        <v>50</v>
      </c>
      <c r="C54" s="234" t="s">
        <v>345</v>
      </c>
      <c r="D54" s="234" t="s">
        <v>346</v>
      </c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33">
        <v>842</v>
      </c>
      <c r="AK54" s="233">
        <v>425</v>
      </c>
      <c r="AM54" s="226"/>
    </row>
    <row r="55" spans="1:39" ht="21.75" customHeight="1">
      <c r="A55" s="170"/>
      <c r="B55" s="171">
        <v>51</v>
      </c>
      <c r="C55" s="234" t="s">
        <v>347</v>
      </c>
      <c r="D55" s="234" t="s">
        <v>348</v>
      </c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33">
        <v>843</v>
      </c>
      <c r="AK55" s="233">
        <v>426</v>
      </c>
      <c r="AM55" s="226"/>
    </row>
    <row r="56" spans="1:39" ht="21.75" customHeight="1">
      <c r="A56" s="170"/>
      <c r="B56" s="171">
        <v>52</v>
      </c>
      <c r="C56" s="234" t="s">
        <v>349</v>
      </c>
      <c r="D56" s="234" t="s">
        <v>350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33">
        <v>844</v>
      </c>
      <c r="AK56" s="233">
        <v>427</v>
      </c>
      <c r="AM56" s="226"/>
    </row>
    <row r="57" spans="1:39" ht="21.75" customHeight="1">
      <c r="A57" s="170"/>
      <c r="B57" s="171">
        <v>53</v>
      </c>
      <c r="C57" s="234" t="s">
        <v>351</v>
      </c>
      <c r="D57" s="234" t="s">
        <v>352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M57" s="226"/>
    </row>
    <row r="58" spans="1:39" ht="21.75" customHeight="1">
      <c r="A58" s="170"/>
      <c r="B58" s="171">
        <v>54</v>
      </c>
      <c r="C58" s="234" t="s">
        <v>353</v>
      </c>
      <c r="D58" s="234" t="s">
        <v>354</v>
      </c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L58" s="226"/>
      <c r="AM58" s="226"/>
    </row>
    <row r="59" spans="1:39" ht="21.75" customHeight="1">
      <c r="A59" s="170"/>
      <c r="B59" s="171">
        <v>55</v>
      </c>
      <c r="C59" s="234" t="s">
        <v>355</v>
      </c>
      <c r="D59" s="234" t="s">
        <v>356</v>
      </c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</row>
    <row r="60" spans="1:39" ht="21.75" customHeight="1">
      <c r="A60" s="170"/>
      <c r="B60" s="171">
        <v>56</v>
      </c>
      <c r="C60" s="234" t="s">
        <v>357</v>
      </c>
      <c r="D60" s="234" t="s">
        <v>358</v>
      </c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</row>
    <row r="61" spans="1:39" ht="21.75" customHeight="1">
      <c r="A61" s="170"/>
      <c r="B61" s="171">
        <v>57</v>
      </c>
      <c r="C61" s="234" t="s">
        <v>359</v>
      </c>
      <c r="D61" s="234" t="s">
        <v>360</v>
      </c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</row>
    <row r="62" spans="1:39" ht="21.75" customHeight="1">
      <c r="A62" s="170"/>
      <c r="B62" s="171">
        <v>58</v>
      </c>
      <c r="C62" s="234" t="s">
        <v>361</v>
      </c>
      <c r="D62" s="234" t="s">
        <v>362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</row>
    <row r="63" spans="1:39" ht="21.75" customHeight="1">
      <c r="A63" s="170"/>
      <c r="B63" s="171">
        <v>59</v>
      </c>
      <c r="C63" s="234" t="s">
        <v>363</v>
      </c>
      <c r="D63" s="234" t="s">
        <v>364</v>
      </c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</row>
    <row r="64" spans="1:39" ht="21.75" customHeight="1">
      <c r="A64" s="170"/>
      <c r="B64" s="171">
        <v>60</v>
      </c>
      <c r="C64" s="234" t="s">
        <v>365</v>
      </c>
      <c r="D64" s="234" t="s">
        <v>366</v>
      </c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</row>
    <row r="65" spans="1:35" ht="21.75" customHeight="1">
      <c r="A65" s="170"/>
      <c r="B65" s="171">
        <v>61</v>
      </c>
      <c r="C65" s="234" t="s">
        <v>367</v>
      </c>
      <c r="D65" s="234" t="s">
        <v>368</v>
      </c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</row>
    <row r="66" spans="1:35" ht="21.75" customHeight="1">
      <c r="A66" s="170"/>
      <c r="B66" s="171">
        <v>62</v>
      </c>
      <c r="C66" s="280"/>
      <c r="D66" s="28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</row>
    <row r="67" spans="1:35" ht="21.75" customHeight="1">
      <c r="A67" s="170"/>
      <c r="B67" s="171">
        <v>63</v>
      </c>
      <c r="C67" s="280"/>
      <c r="D67" s="28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</row>
    <row r="68" spans="1:35" ht="21.75" customHeight="1">
      <c r="A68" s="170"/>
      <c r="B68" s="171">
        <v>64</v>
      </c>
      <c r="C68" s="280"/>
      <c r="D68" s="28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</row>
    <row r="69" spans="1:35" ht="21.75" customHeight="1">
      <c r="A69" s="170"/>
      <c r="B69" s="171">
        <v>65</v>
      </c>
      <c r="C69" s="211"/>
      <c r="D69" s="211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</row>
    <row r="70" spans="1:35" ht="21.75" customHeight="1">
      <c r="A70" s="170"/>
      <c r="B70" s="171">
        <v>66</v>
      </c>
      <c r="C70" s="211"/>
      <c r="D70" s="211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</row>
    <row r="71" spans="1:35" ht="21.75" customHeight="1">
      <c r="A71" s="170"/>
      <c r="B71" s="171">
        <v>67</v>
      </c>
      <c r="C71" s="211"/>
      <c r="D71" s="211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</row>
    <row r="72" spans="1:35" ht="21.75" customHeight="1">
      <c r="A72" s="170"/>
      <c r="B72" s="171">
        <v>68</v>
      </c>
      <c r="C72" s="211"/>
      <c r="D72" s="211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</row>
    <row r="73" spans="1:35" ht="21.75" customHeight="1">
      <c r="A73" s="170"/>
      <c r="B73" s="171">
        <v>69</v>
      </c>
      <c r="C73" s="211"/>
      <c r="D73" s="211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</row>
    <row r="74" spans="1:35" ht="21.75" customHeight="1">
      <c r="A74" s="170"/>
      <c r="B74" s="171">
        <v>70</v>
      </c>
      <c r="C74" s="211"/>
      <c r="D74" s="211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</row>
    <row r="75" spans="1:35" ht="21.75" customHeight="1">
      <c r="A75" s="170"/>
      <c r="B75" s="171">
        <v>71</v>
      </c>
      <c r="C75" s="211"/>
      <c r="D75" s="211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</row>
    <row r="76" spans="1:35" ht="21.75" customHeight="1">
      <c r="A76" s="170"/>
      <c r="B76" s="171">
        <v>72</v>
      </c>
      <c r="C76" s="211"/>
      <c r="D76" s="211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</row>
    <row r="77" spans="1:35" ht="21.75" customHeight="1">
      <c r="A77" s="170"/>
      <c r="B77" s="171">
        <v>73</v>
      </c>
      <c r="C77" s="211"/>
      <c r="D77" s="211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</row>
    <row r="78" spans="1:35" ht="21.75" customHeight="1">
      <c r="A78" s="170"/>
      <c r="B78" s="171">
        <v>74</v>
      </c>
      <c r="C78" s="211"/>
      <c r="D78" s="211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</row>
    <row r="79" spans="1:35" ht="21.75" customHeight="1">
      <c r="A79" s="170"/>
      <c r="B79" s="171">
        <v>75</v>
      </c>
      <c r="C79" s="211"/>
      <c r="D79" s="211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</row>
    <row r="80" spans="1:35" ht="21.75" customHeight="1">
      <c r="A80" s="170"/>
      <c r="B80" s="171">
        <v>76</v>
      </c>
      <c r="C80" s="212"/>
      <c r="D80" s="213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</row>
    <row r="81" spans="1:35" ht="21.75" customHeight="1">
      <c r="A81" s="170"/>
      <c r="B81" s="171">
        <v>77</v>
      </c>
      <c r="C81" s="212"/>
      <c r="D81" s="213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</row>
    <row r="82" spans="1:35" ht="21.75" customHeight="1">
      <c r="A82" s="170"/>
      <c r="B82" s="171">
        <v>78</v>
      </c>
      <c r="C82" s="212"/>
      <c r="D82" s="213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</row>
    <row r="83" spans="1:35" ht="21.75" customHeight="1">
      <c r="A83" s="170"/>
      <c r="B83" s="171">
        <v>79</v>
      </c>
      <c r="C83" s="212"/>
      <c r="D83" s="213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</row>
    <row r="84" spans="1:35" ht="21.75" customHeight="1">
      <c r="A84" s="170"/>
      <c r="B84" s="171">
        <v>80</v>
      </c>
      <c r="C84" s="212"/>
      <c r="D84" s="214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</row>
    <row r="85" spans="1:35" ht="21.75" customHeight="1">
      <c r="A85" s="170"/>
      <c r="B85" s="171">
        <v>81</v>
      </c>
      <c r="C85" s="215"/>
      <c r="D85" s="215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</row>
    <row r="86" spans="1:35" ht="21.75" customHeight="1">
      <c r="A86" s="170"/>
      <c r="B86" s="171">
        <v>82</v>
      </c>
      <c r="C86" s="215"/>
      <c r="D86" s="215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</row>
    <row r="87" spans="1:35" ht="21.75" customHeight="1">
      <c r="A87" s="170"/>
      <c r="B87" s="171">
        <v>83</v>
      </c>
      <c r="C87" s="215"/>
      <c r="D87" s="215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</row>
    <row r="88" spans="1:35" ht="21.75" customHeight="1">
      <c r="A88" s="170"/>
      <c r="B88" s="171">
        <v>84</v>
      </c>
      <c r="C88" s="215"/>
      <c r="D88" s="215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</row>
    <row r="89" spans="1:35" ht="21.75" customHeight="1">
      <c r="A89" s="170"/>
      <c r="B89" s="171">
        <v>85</v>
      </c>
      <c r="C89" s="215"/>
      <c r="D89" s="215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</row>
    <row r="90" spans="1:35" ht="21.75" customHeight="1">
      <c r="A90" s="170"/>
      <c r="B90" s="171">
        <v>86</v>
      </c>
      <c r="C90" s="215"/>
      <c r="D90" s="215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</row>
    <row r="91" spans="1:35" ht="21.75" customHeight="1">
      <c r="A91" s="170"/>
      <c r="B91" s="171">
        <v>87</v>
      </c>
      <c r="C91" s="215"/>
      <c r="D91" s="215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</row>
    <row r="92" spans="1:35" ht="21.75" customHeight="1">
      <c r="A92" s="170"/>
      <c r="B92" s="171">
        <v>88</v>
      </c>
      <c r="C92" s="215"/>
      <c r="D92" s="215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</row>
    <row r="93" spans="1:35" ht="21.75" customHeight="1">
      <c r="A93" s="170"/>
      <c r="B93" s="171">
        <v>89</v>
      </c>
      <c r="C93" s="215"/>
      <c r="D93" s="215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</row>
    <row r="94" spans="1:35" ht="21.75" customHeight="1">
      <c r="A94" s="170"/>
      <c r="B94" s="171">
        <v>90</v>
      </c>
      <c r="C94" s="215"/>
      <c r="D94" s="215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</row>
    <row r="95" spans="1:35" ht="21.75" customHeight="1">
      <c r="A95" s="170"/>
      <c r="B95" s="171">
        <v>91</v>
      </c>
      <c r="C95" s="215"/>
      <c r="D95" s="215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</row>
    <row r="96" spans="1:35" ht="21.75" customHeight="1">
      <c r="A96" s="170"/>
      <c r="B96" s="171">
        <v>92</v>
      </c>
      <c r="C96" s="215"/>
      <c r="D96" s="215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</row>
    <row r="97" spans="1:35" ht="21.75" customHeight="1">
      <c r="A97" s="170"/>
      <c r="B97" s="171">
        <v>93</v>
      </c>
      <c r="C97" s="215"/>
      <c r="D97" s="215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</row>
    <row r="98" spans="1:35" ht="21.75" customHeight="1">
      <c r="A98" s="170"/>
      <c r="B98" s="171">
        <v>94</v>
      </c>
      <c r="C98" s="215"/>
      <c r="D98" s="215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</row>
    <row r="99" spans="1:35" ht="21.75" customHeight="1">
      <c r="A99" s="170"/>
      <c r="B99" s="171">
        <v>95</v>
      </c>
      <c r="C99" s="215"/>
      <c r="D99" s="215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</row>
    <row r="100" spans="1:35" ht="21.75" customHeight="1">
      <c r="A100" s="170"/>
      <c r="B100" s="171">
        <v>96</v>
      </c>
      <c r="C100" s="215"/>
      <c r="D100" s="215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</row>
    <row r="101" spans="1:35" ht="21.75" customHeight="1">
      <c r="A101" s="170"/>
      <c r="B101" s="171">
        <v>97</v>
      </c>
      <c r="C101" s="215"/>
      <c r="D101" s="215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</row>
    <row r="102" spans="1:35" ht="21.75" customHeight="1">
      <c r="A102" s="170"/>
      <c r="B102" s="171">
        <v>98</v>
      </c>
      <c r="C102" s="215"/>
      <c r="D102" s="215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</row>
    <row r="103" spans="1:35" ht="21.75" customHeight="1">
      <c r="A103" s="170"/>
      <c r="B103" s="171">
        <v>99</v>
      </c>
      <c r="C103" s="215"/>
      <c r="D103" s="215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</row>
    <row r="104" spans="1:35" ht="21.75" customHeight="1">
      <c r="A104" s="170"/>
      <c r="B104" s="171">
        <v>100</v>
      </c>
      <c r="C104" s="215"/>
      <c r="D104" s="215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</row>
    <row r="105" spans="1:35" ht="21.75" customHeight="1">
      <c r="A105" s="170"/>
      <c r="B105" s="171">
        <v>101</v>
      </c>
      <c r="C105" s="215"/>
      <c r="D105" s="215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</row>
    <row r="106" spans="1:35" ht="21.75" customHeight="1">
      <c r="A106" s="170"/>
      <c r="B106" s="171">
        <v>102</v>
      </c>
      <c r="C106" s="215"/>
      <c r="D106" s="215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</row>
    <row r="107" spans="1:35" ht="21.75" customHeight="1">
      <c r="A107" s="170"/>
      <c r="B107" s="171">
        <v>103</v>
      </c>
      <c r="C107" s="215"/>
      <c r="D107" s="215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</row>
    <row r="108" spans="1:35" ht="21.75" customHeight="1">
      <c r="A108" s="170"/>
      <c r="B108" s="171">
        <v>104</v>
      </c>
      <c r="C108" s="215"/>
      <c r="D108" s="215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</row>
    <row r="109" spans="1:35" ht="21.75" customHeight="1">
      <c r="A109" s="170"/>
      <c r="B109" s="171">
        <v>105</v>
      </c>
      <c r="C109" s="215"/>
      <c r="D109" s="215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</row>
  </sheetData>
  <sheetProtection password="F89D" sheet="1" objects="1" scenarios="1"/>
  <sortState ref="AJ10:AK56">
    <sortCondition ref="AJ10:AJ56"/>
  </sortState>
  <mergeCells count="30">
    <mergeCell ref="AC7:AD7"/>
    <mergeCell ref="F18:F19"/>
    <mergeCell ref="G11:M11"/>
    <mergeCell ref="J7:K7"/>
    <mergeCell ref="G8:L8"/>
    <mergeCell ref="G9:L9"/>
    <mergeCell ref="F16:F17"/>
    <mergeCell ref="F10:M10"/>
    <mergeCell ref="A1:N1"/>
    <mergeCell ref="G5:L5"/>
    <mergeCell ref="E3:N3"/>
    <mergeCell ref="G4:I4"/>
    <mergeCell ref="B3:D3"/>
    <mergeCell ref="E2:G2"/>
    <mergeCell ref="J6:K6"/>
    <mergeCell ref="E11:E27"/>
    <mergeCell ref="G20:M21"/>
    <mergeCell ref="G22:M23"/>
    <mergeCell ref="G24:M25"/>
    <mergeCell ref="G26:M27"/>
    <mergeCell ref="F20:F21"/>
    <mergeCell ref="F22:F23"/>
    <mergeCell ref="F24:F25"/>
    <mergeCell ref="F26:F27"/>
    <mergeCell ref="G12:M13"/>
    <mergeCell ref="G14:M15"/>
    <mergeCell ref="G16:M17"/>
    <mergeCell ref="G18:M19"/>
    <mergeCell ref="F12:F13"/>
    <mergeCell ref="F14:F15"/>
  </mergeCells>
  <dataValidations count="5">
    <dataValidation type="list" allowBlank="1" showInputMessage="1" showErrorMessage="1" sqref="L6">
      <formula1>$Z$1:$Z$16</formula1>
    </dataValidation>
    <dataValidation type="list" allowBlank="1" showInputMessage="1" showErrorMessage="1" sqref="G6">
      <formula1>$W$1:$W$4</formula1>
    </dataValidation>
    <dataValidation type="list" allowBlank="1" showInputMessage="1" showErrorMessage="1" sqref="I7">
      <formula1>$T$1:$T$13</formula1>
    </dataValidation>
    <dataValidation type="list" allowBlank="1" showInputMessage="1" showErrorMessage="1" sqref="G7">
      <formula1>$S$1:$S$9</formula1>
    </dataValidation>
    <dataValidation type="list" allowBlank="1" showInputMessage="1" showErrorMessage="1" sqref="G8:L8">
      <formula1>$U$1:$U$15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AT85"/>
  <sheetViews>
    <sheetView showRowColHeaders="0" zoomScale="53" zoomScaleNormal="53" workbookViewId="0">
      <selection activeCell="B14" sqref="B14"/>
    </sheetView>
  </sheetViews>
  <sheetFormatPr defaultRowHeight="15"/>
  <cols>
    <col min="1" max="1" width="8.28515625" customWidth="1"/>
    <col min="2" max="2" width="12.85546875" customWidth="1"/>
    <col min="3" max="3" width="13.5703125" customWidth="1"/>
    <col min="4" max="4" width="9.28515625" customWidth="1"/>
    <col min="5" max="5" width="10.85546875" customWidth="1"/>
    <col min="6" max="6" width="10.7109375" customWidth="1"/>
    <col min="7" max="7" width="11.28515625" bestFit="1" customWidth="1"/>
    <col min="8" max="8" width="13.85546875" customWidth="1"/>
    <col min="9" max="9" width="10.5703125" bestFit="1" customWidth="1"/>
    <col min="10" max="10" width="10.7109375" customWidth="1"/>
    <col min="11" max="11" width="11.140625" bestFit="1" customWidth="1"/>
    <col min="12" max="12" width="12.140625" bestFit="1" customWidth="1"/>
    <col min="13" max="14" width="12" customWidth="1"/>
    <col min="15" max="15" width="10" bestFit="1" customWidth="1"/>
    <col min="16" max="16" width="11.140625" bestFit="1" customWidth="1"/>
    <col min="17" max="17" width="10.5703125" bestFit="1" customWidth="1"/>
    <col min="18" max="18" width="10.5703125" style="46" customWidth="1"/>
    <col min="19" max="21" width="10.7109375" customWidth="1"/>
    <col min="22" max="22" width="12.140625" hidden="1" customWidth="1"/>
    <col min="23" max="23" width="17" customWidth="1"/>
    <col min="24" max="24" width="18.5703125" customWidth="1"/>
    <col min="25" max="25" width="15.85546875" customWidth="1"/>
    <col min="26" max="26" width="17" customWidth="1"/>
  </cols>
  <sheetData>
    <row r="1" spans="1:46" ht="48.75" customHeight="1">
      <c r="A1" s="20"/>
      <c r="B1" s="507" t="s">
        <v>91</v>
      </c>
      <c r="C1" s="507"/>
      <c r="D1" s="508" t="str">
        <f>'Student Details'!H9</f>
        <v>S.K. GIRISH</v>
      </c>
      <c r="E1" s="508"/>
      <c r="F1" s="508"/>
      <c r="G1" s="508"/>
      <c r="H1" s="508"/>
      <c r="I1" s="508"/>
      <c r="J1" s="508"/>
      <c r="K1" s="508"/>
      <c r="L1" s="509" t="s">
        <v>92</v>
      </c>
      <c r="M1" s="509"/>
      <c r="N1" s="509"/>
      <c r="O1" s="509"/>
      <c r="P1" s="506" t="str">
        <f>'Student Details'!L5</f>
        <v>EE6T01</v>
      </c>
      <c r="Q1" s="506"/>
      <c r="R1" s="509" t="s">
        <v>1</v>
      </c>
      <c r="S1" s="509"/>
      <c r="T1" s="509"/>
      <c r="U1" s="506" t="str">
        <f>'Student Details'!L6</f>
        <v>Power System Analysis &amp; Stability</v>
      </c>
      <c r="V1" s="506"/>
      <c r="W1" s="506"/>
      <c r="X1" s="506"/>
      <c r="Y1" s="506"/>
      <c r="Z1" s="506"/>
      <c r="AA1" s="506"/>
    </row>
    <row r="2" spans="1:46" ht="43.5" customHeight="1">
      <c r="A2" s="20"/>
      <c r="B2" s="505" t="s">
        <v>69</v>
      </c>
      <c r="C2" s="505"/>
      <c r="D2" s="48"/>
      <c r="E2" s="474" t="s">
        <v>70</v>
      </c>
      <c r="F2" s="474"/>
      <c r="G2" s="474"/>
      <c r="H2" s="474"/>
      <c r="I2" s="474"/>
      <c r="J2" s="512" t="s">
        <v>115</v>
      </c>
      <c r="K2" s="512"/>
      <c r="L2" s="512"/>
      <c r="M2" s="512"/>
      <c r="N2" s="95"/>
      <c r="O2" s="45"/>
      <c r="P2" s="487" t="s">
        <v>60</v>
      </c>
      <c r="Q2" s="488"/>
      <c r="R2" s="488"/>
      <c r="S2" s="489"/>
      <c r="T2" s="493" t="s">
        <v>65</v>
      </c>
      <c r="U2" s="494"/>
      <c r="V2" s="497" t="s">
        <v>108</v>
      </c>
      <c r="W2" s="497"/>
      <c r="X2" s="497"/>
      <c r="Y2" s="497"/>
      <c r="Z2" s="510" t="str">
        <f>'Student List'!L6</f>
        <v>2018-19</v>
      </c>
      <c r="AA2" s="510"/>
    </row>
    <row r="3" spans="1:46" ht="36.75" customHeight="1">
      <c r="A3" s="20"/>
      <c r="B3" s="50" t="s">
        <v>62</v>
      </c>
      <c r="C3" s="50" t="s">
        <v>63</v>
      </c>
      <c r="D3" s="20"/>
      <c r="E3" s="195">
        <v>3</v>
      </c>
      <c r="F3" s="195">
        <v>2</v>
      </c>
      <c r="G3" s="195">
        <v>1</v>
      </c>
      <c r="H3" s="511" t="s">
        <v>114</v>
      </c>
      <c r="I3" s="511"/>
      <c r="J3" s="513" t="s">
        <v>67</v>
      </c>
      <c r="K3" s="513"/>
      <c r="L3" s="513">
        <f>'Exam Marks'!$N$6*100</f>
        <v>96.721311475409834</v>
      </c>
      <c r="M3" s="513"/>
      <c r="N3" s="95"/>
      <c r="O3" s="45"/>
      <c r="P3" s="490" t="s">
        <v>72</v>
      </c>
      <c r="Q3" s="491"/>
      <c r="R3" s="491"/>
      <c r="S3" s="492"/>
      <c r="T3" s="495">
        <v>0.5</v>
      </c>
      <c r="U3" s="496"/>
      <c r="V3" s="497" t="s">
        <v>78</v>
      </c>
      <c r="W3" s="497"/>
      <c r="X3" s="497"/>
      <c r="Y3" s="497"/>
      <c r="Z3" s="510">
        <v>0.45</v>
      </c>
      <c r="AA3" s="510"/>
    </row>
    <row r="4" spans="1:46" ht="41.25" customHeight="1">
      <c r="A4" s="20"/>
      <c r="B4" s="50" t="str">
        <f>'Student List'!$F$12</f>
        <v>C0.1</v>
      </c>
      <c r="C4" s="50">
        <f>IFERROR('Exam Marks'!$E$7,0)</f>
        <v>79.426229508196712</v>
      </c>
      <c r="D4" s="20"/>
      <c r="E4" s="49">
        <f>'End Survey'!$M$12</f>
        <v>54</v>
      </c>
      <c r="F4" s="49">
        <f>'End Survey'!$N$12</f>
        <v>7</v>
      </c>
      <c r="G4" s="49">
        <f>'End Survey'!$O$12</f>
        <v>0</v>
      </c>
      <c r="H4" s="473">
        <f>(E4*$E$3+F4*$F$3+G4*$G$3)/INT('Student Details'!$G$7)</f>
        <v>2.8852459016393444</v>
      </c>
      <c r="I4" s="473"/>
      <c r="J4" s="20"/>
      <c r="K4" s="20"/>
      <c r="L4" s="20"/>
      <c r="M4" s="41"/>
      <c r="N4" s="94"/>
      <c r="O4" s="45"/>
      <c r="P4" s="490" t="s">
        <v>68</v>
      </c>
      <c r="Q4" s="491"/>
      <c r="R4" s="491"/>
      <c r="S4" s="492"/>
      <c r="T4" s="495">
        <v>0.5</v>
      </c>
      <c r="U4" s="496"/>
      <c r="V4" s="20"/>
      <c r="W4" s="45"/>
      <c r="X4" s="45"/>
      <c r="Y4" s="45"/>
      <c r="Z4" s="45"/>
      <c r="AA4" s="20"/>
    </row>
    <row r="5" spans="1:46" ht="41.25" customHeight="1">
      <c r="A5" s="20"/>
      <c r="B5" s="50" t="str">
        <f>'Student List'!$F$14</f>
        <v>C0.2</v>
      </c>
      <c r="C5" s="50">
        <f>IFERROR('Exam Marks'!$E$8,0)</f>
        <v>43.822100789313907</v>
      </c>
      <c r="D5" s="20"/>
      <c r="E5" s="49">
        <f>'End Survey'!$M$13</f>
        <v>45</v>
      </c>
      <c r="F5" s="49">
        <f>'End Survey'!$N$13</f>
        <v>16</v>
      </c>
      <c r="G5" s="49">
        <f>'End Survey'!$O$13</f>
        <v>0</v>
      </c>
      <c r="H5" s="473">
        <f>(E5*$E$3+F5*$F$3+G5*$G$3)/INT('Student Details'!$G$7)</f>
        <v>2.737704918032787</v>
      </c>
      <c r="I5" s="473" t="e">
        <f>(E5*#REF!+F5*$L$4+G5*$L$5+H5*$L$6)/4*10</f>
        <v>#REF!</v>
      </c>
      <c r="J5" s="20"/>
      <c r="K5" s="20"/>
      <c r="L5" s="20"/>
      <c r="M5" s="41"/>
      <c r="N5" s="95"/>
      <c r="O5" s="45"/>
      <c r="P5" s="20"/>
      <c r="Q5" s="20"/>
      <c r="R5" s="20"/>
      <c r="S5" s="20"/>
      <c r="T5" s="20"/>
      <c r="U5" s="20"/>
      <c r="V5" s="20"/>
      <c r="W5" s="45"/>
      <c r="X5" s="45"/>
      <c r="Y5" s="45"/>
      <c r="Z5" s="45"/>
      <c r="AA5" s="20"/>
    </row>
    <row r="6" spans="1:46" ht="41.25" customHeight="1">
      <c r="A6" s="20"/>
      <c r="B6" s="50" t="str">
        <f>'Student List'!$F$16</f>
        <v>C0.3</v>
      </c>
      <c r="C6" s="50">
        <f>IFERROR('Exam Marks'!$E$9,0)</f>
        <v>71.136363636363626</v>
      </c>
      <c r="D6" s="20"/>
      <c r="E6" s="49">
        <f>'End Survey'!$M$14</f>
        <v>40</v>
      </c>
      <c r="F6" s="49">
        <f>'End Survey'!$N$14</f>
        <v>16</v>
      </c>
      <c r="G6" s="49">
        <f>'End Survey'!$O$14</f>
        <v>5</v>
      </c>
      <c r="H6" s="473">
        <f>(E6*$E$3+F6*$F$3+G6*$G$3)/INT('Student Details'!$G$7)</f>
        <v>2.5737704918032787</v>
      </c>
      <c r="I6" s="473" t="e">
        <f>(E6*#REF!+F6*$L$4+G6*$L$5+H6*$L$6)/4*10</f>
        <v>#REF!</v>
      </c>
      <c r="J6" s="20"/>
      <c r="K6" s="20"/>
      <c r="L6" s="20"/>
      <c r="M6" s="41"/>
      <c r="N6" s="20"/>
      <c r="O6" s="45"/>
      <c r="P6" s="20"/>
      <c r="Q6" s="20"/>
      <c r="R6" s="20"/>
      <c r="S6" s="20"/>
      <c r="T6" s="20"/>
      <c r="U6" s="20"/>
      <c r="V6" s="20"/>
      <c r="W6" s="45"/>
      <c r="X6" s="45"/>
      <c r="Y6" s="45"/>
      <c r="Z6" s="45"/>
      <c r="AA6" s="20"/>
    </row>
    <row r="7" spans="1:46" ht="41.25" customHeight="1">
      <c r="A7" s="20"/>
      <c r="B7" s="50" t="str">
        <f>'Student List'!$F$18</f>
        <v>C0.4</v>
      </c>
      <c r="C7" s="50">
        <f>IFERROR('Exam Marks'!$E$10,0)</f>
        <v>66.101694915254242</v>
      </c>
      <c r="D7" s="20"/>
      <c r="E7" s="49">
        <f>'End Survey'!$M$15</f>
        <v>50</v>
      </c>
      <c r="F7" s="49">
        <f>'End Survey'!$N$15</f>
        <v>10</v>
      </c>
      <c r="G7" s="49">
        <f>'End Survey'!$O$15</f>
        <v>1</v>
      </c>
      <c r="H7" s="473">
        <f>(E7*$E$3+F7*$F$3+G7*$G$3)/INT('Student Details'!$G$7)</f>
        <v>2.8032786885245899</v>
      </c>
      <c r="I7" s="473" t="e">
        <f>(E7*#REF!+F7*$L$4+G7*$L$5+H7*$L$6)/4*10</f>
        <v>#REF!</v>
      </c>
      <c r="J7" s="20"/>
      <c r="K7" s="45"/>
      <c r="L7" s="45"/>
      <c r="M7" s="41"/>
      <c r="N7" s="20"/>
      <c r="O7" s="45"/>
      <c r="P7" s="45"/>
      <c r="Q7" s="45"/>
      <c r="R7" s="45"/>
      <c r="S7" s="45"/>
      <c r="T7" s="20"/>
      <c r="U7" s="20"/>
      <c r="V7" s="20"/>
      <c r="W7" s="45"/>
      <c r="X7" s="45"/>
      <c r="Y7" s="45"/>
      <c r="Z7" s="45"/>
      <c r="AA7" s="20"/>
    </row>
    <row r="8" spans="1:46" ht="41.25" customHeight="1">
      <c r="A8" s="20"/>
      <c r="B8" s="50" t="str">
        <f>'Student List'!$F$20</f>
        <v>C0.5</v>
      </c>
      <c r="C8" s="50">
        <f>IFERROR('Exam Marks'!$E$11,0)</f>
        <v>69.090909090909093</v>
      </c>
      <c r="D8" s="20"/>
      <c r="E8" s="49">
        <f>'End Survey'!$M$16</f>
        <v>43</v>
      </c>
      <c r="F8" s="49">
        <f>'End Survey'!$N$16</f>
        <v>17</v>
      </c>
      <c r="G8" s="49">
        <f>'End Survey'!$O$16</f>
        <v>1</v>
      </c>
      <c r="H8" s="473">
        <f>(E8*$E$3+F8*$F$3+G8*$G$3)/INT('Student Details'!$G$7)</f>
        <v>2.6885245901639343</v>
      </c>
      <c r="I8" s="473" t="e">
        <f>(E8*#REF!+F8*$L$4+G8*$L$5+H8*$L$6)/4*10</f>
        <v>#REF!</v>
      </c>
      <c r="J8" s="20"/>
      <c r="K8" s="44"/>
      <c r="L8" s="45"/>
      <c r="M8" s="45"/>
      <c r="N8" s="20"/>
      <c r="O8" s="45"/>
      <c r="P8" s="45"/>
      <c r="Q8" s="45"/>
      <c r="R8" s="45"/>
      <c r="S8" s="45"/>
      <c r="T8" s="20"/>
      <c r="U8" s="20"/>
      <c r="V8" s="20"/>
      <c r="W8" s="45"/>
      <c r="X8" s="45"/>
      <c r="Y8" s="45"/>
      <c r="Z8" s="45"/>
      <c r="AA8" s="20"/>
    </row>
    <row r="9" spans="1:46" ht="41.25" hidden="1" customHeight="1">
      <c r="A9" s="20"/>
      <c r="B9" s="50" t="str">
        <f>'Student List'!$F$22</f>
        <v>C0.6</v>
      </c>
      <c r="C9" s="50"/>
      <c r="D9" s="20"/>
      <c r="E9" s="49"/>
      <c r="F9" s="49"/>
      <c r="G9" s="49"/>
      <c r="H9" s="473">
        <f>(E9*$E$3+F9*$F$3+G9*$G$3)/INT('Student Details'!$G$7)</f>
        <v>0</v>
      </c>
      <c r="I9" s="473" t="e">
        <f>(E9*#REF!+F9*$L$4+G9*$L$5+H9*$L$6)/4*10</f>
        <v>#REF!</v>
      </c>
      <c r="J9" s="20"/>
      <c r="K9" s="44"/>
      <c r="L9" s="45"/>
      <c r="M9" s="45"/>
      <c r="N9" s="20"/>
      <c r="O9" s="45"/>
      <c r="P9" s="45"/>
      <c r="Q9" s="45"/>
      <c r="R9" s="45"/>
      <c r="S9" s="45"/>
      <c r="T9" s="20"/>
      <c r="U9" s="20"/>
      <c r="V9" s="20"/>
      <c r="W9" s="45"/>
      <c r="X9" s="45"/>
      <c r="Y9" s="45"/>
      <c r="Z9" s="45"/>
      <c r="AA9" s="20"/>
    </row>
    <row r="10" spans="1:46" ht="41.25" hidden="1" customHeight="1">
      <c r="A10" s="20"/>
      <c r="B10" s="50" t="str">
        <f>'Student List'!$F$24</f>
        <v>C0.7</v>
      </c>
      <c r="C10" s="50"/>
      <c r="D10" s="20"/>
      <c r="E10" s="49"/>
      <c r="F10" s="49"/>
      <c r="G10" s="49"/>
      <c r="H10" s="473">
        <f>(E10*$E$3+F10*$F$3+G10*$G$3)/INT('Student Details'!$G$7)</f>
        <v>0</v>
      </c>
      <c r="I10" s="473" t="e">
        <f>(E10*#REF!+F10*$L$4+G10*$L$5+H10*$L$6)/4*10</f>
        <v>#REF!</v>
      </c>
      <c r="J10" s="20"/>
      <c r="K10" s="44"/>
      <c r="L10" s="45"/>
      <c r="M10" s="45"/>
      <c r="N10" s="20"/>
      <c r="O10" s="45"/>
      <c r="P10" s="45"/>
      <c r="Q10" s="45"/>
      <c r="R10" s="45"/>
      <c r="S10" s="45"/>
      <c r="T10" s="20"/>
      <c r="U10" s="20"/>
      <c r="V10" s="20"/>
      <c r="W10" s="45"/>
      <c r="X10" s="45"/>
      <c r="Y10" s="45"/>
      <c r="Z10" s="45"/>
      <c r="AA10" s="20"/>
    </row>
    <row r="11" spans="1:46" ht="41.25" hidden="1" customHeight="1">
      <c r="A11" s="20"/>
      <c r="B11" s="50" t="str">
        <f>'Student List'!$F$26</f>
        <v>C0.8</v>
      </c>
      <c r="C11" s="50"/>
      <c r="D11" s="20"/>
      <c r="E11" s="49"/>
      <c r="F11" s="49"/>
      <c r="G11" s="49"/>
      <c r="H11" s="473">
        <f>(E11*$E$3+F11*$F$3+G11*$G$3)/INT('Student Details'!$G$7)</f>
        <v>0</v>
      </c>
      <c r="I11" s="473" t="e">
        <f>(E11*#REF!+F11*$L$4+G11*$L$5+H11*$L$6)/4*10</f>
        <v>#REF!</v>
      </c>
      <c r="J11" s="20"/>
      <c r="K11" s="44"/>
      <c r="L11" s="45"/>
      <c r="M11" s="45"/>
      <c r="N11" s="20"/>
      <c r="O11" s="45"/>
      <c r="P11" s="45"/>
      <c r="Q11" s="45"/>
      <c r="R11" s="45"/>
      <c r="S11" s="45"/>
      <c r="T11" s="20"/>
      <c r="U11" s="20"/>
      <c r="V11" s="20"/>
      <c r="W11" s="45"/>
      <c r="X11" s="45"/>
      <c r="Y11" s="45"/>
      <c r="Z11" s="45"/>
      <c r="AA11" s="20"/>
    </row>
    <row r="12" spans="1:46" ht="9.75" customHeight="1">
      <c r="A12" s="20"/>
      <c r="B12" s="43"/>
      <c r="C12" s="43"/>
      <c r="D12" s="20"/>
      <c r="E12" s="20"/>
      <c r="F12" s="20"/>
      <c r="G12" s="41"/>
      <c r="H12" s="42"/>
      <c r="I12" s="44"/>
      <c r="J12" s="44"/>
      <c r="K12" s="44"/>
      <c r="L12" s="45"/>
      <c r="M12" s="45"/>
      <c r="N12" s="20"/>
      <c r="O12" s="45"/>
      <c r="P12" s="45"/>
      <c r="Q12" s="45"/>
      <c r="R12" s="45"/>
      <c r="S12" s="45"/>
      <c r="T12" s="20"/>
      <c r="U12" s="20"/>
      <c r="V12" s="20"/>
      <c r="W12" s="20"/>
      <c r="X12" s="47"/>
      <c r="Y12" s="47"/>
      <c r="Z12" s="47"/>
      <c r="AA12" s="20"/>
    </row>
    <row r="13" spans="1:46" ht="0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5"/>
      <c r="P13" s="45"/>
      <c r="Q13" s="45"/>
      <c r="R13" s="45"/>
      <c r="S13" s="45"/>
      <c r="T13" s="20"/>
      <c r="U13" s="20"/>
      <c r="V13" s="20"/>
      <c r="W13" s="20"/>
      <c r="X13" s="20"/>
      <c r="Y13" s="20"/>
      <c r="Z13" s="20"/>
      <c r="AA13" s="20"/>
    </row>
    <row r="14" spans="1:46" ht="33" customHeight="1">
      <c r="A14" s="20"/>
      <c r="B14" s="20" t="s">
        <v>76</v>
      </c>
      <c r="C14" s="20"/>
      <c r="D14" s="504" t="s">
        <v>103</v>
      </c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20"/>
      <c r="Z14" s="20"/>
      <c r="AA14" s="20"/>
    </row>
    <row r="15" spans="1:46" ht="54.75" customHeight="1">
      <c r="A15" s="20"/>
      <c r="B15" s="20"/>
      <c r="C15" s="20"/>
      <c r="D15" s="498" t="s">
        <v>59</v>
      </c>
      <c r="E15" s="498"/>
      <c r="F15" s="498" t="s">
        <v>60</v>
      </c>
      <c r="G15" s="498"/>
      <c r="H15" s="498"/>
      <c r="I15" s="498"/>
      <c r="J15" s="189" t="s">
        <v>79</v>
      </c>
      <c r="K15" s="189" t="s">
        <v>80</v>
      </c>
      <c r="L15" s="189" t="s">
        <v>81</v>
      </c>
      <c r="M15" s="189" t="s">
        <v>82</v>
      </c>
      <c r="N15" s="189" t="s">
        <v>83</v>
      </c>
      <c r="O15" s="189" t="s">
        <v>84</v>
      </c>
      <c r="P15" s="189" t="s">
        <v>85</v>
      </c>
      <c r="Q15" s="189" t="s">
        <v>86</v>
      </c>
      <c r="R15" s="189" t="s">
        <v>87</v>
      </c>
      <c r="S15" s="189" t="s">
        <v>88</v>
      </c>
      <c r="T15" s="189" t="s">
        <v>89</v>
      </c>
      <c r="U15" s="189" t="s">
        <v>90</v>
      </c>
      <c r="V15" s="51"/>
      <c r="W15" s="136" t="s">
        <v>71</v>
      </c>
      <c r="X15" s="136" t="str">
        <f>"Achievement (Goal  : " &amp;Z3*100&amp;"% )"</f>
        <v>Achievement (Goal  : 45% )</v>
      </c>
      <c r="Y15" s="20"/>
      <c r="Z15" s="20"/>
      <c r="AA15" s="20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</row>
    <row r="16" spans="1:46" ht="18.75" customHeight="1">
      <c r="A16" s="20"/>
      <c r="B16" s="20"/>
      <c r="C16" s="20"/>
      <c r="D16" s="499" t="str">
        <f>'Student List'!$F$12</f>
        <v>C0.1</v>
      </c>
      <c r="E16" s="500"/>
      <c r="F16" s="479" t="s">
        <v>66</v>
      </c>
      <c r="G16" s="479"/>
      <c r="H16" s="38" t="s">
        <v>64</v>
      </c>
      <c r="I16" s="40">
        <f>$C$4</f>
        <v>79.426229508196712</v>
      </c>
      <c r="J16" s="53" t="e">
        <f ca="1">IF(ColorIndex('Student Details'!L27)=35,"",$I$16*$T$3)</f>
        <v>#NAME?</v>
      </c>
      <c r="K16" s="53" t="e">
        <f ca="1">IF(ColorIndex('Student Details'!M27)=35,"",$I$16*$T$3)</f>
        <v>#NAME?</v>
      </c>
      <c r="L16" s="53" t="e">
        <f ca="1">IF(ColorIndex('Student Details'!N27)=35,"",$I$16*$T$3)</f>
        <v>#NAME?</v>
      </c>
      <c r="M16" s="53" t="e">
        <f ca="1">IF(ColorIndex('Student Details'!O27)=35,"",$I$16*$T$3)</f>
        <v>#NAME?</v>
      </c>
      <c r="N16" s="53" t="e">
        <f ca="1">IF(ColorIndex('Student Details'!P27)=35,"",$I$16*$T$3)</f>
        <v>#NAME?</v>
      </c>
      <c r="O16" s="53" t="e">
        <f ca="1">IF(ColorIndex('Student Details'!Q27)=35,"",$I$16*$T$3)</f>
        <v>#NAME?</v>
      </c>
      <c r="P16" s="53" t="e">
        <f ca="1">IF(ColorIndex('Student Details'!R27)=35,"",$I$16*$T$3)</f>
        <v>#NAME?</v>
      </c>
      <c r="Q16" s="53" t="e">
        <f ca="1">IF(ColorIndex('Student Details'!S27)=35,"",$I$16*$T$3)</f>
        <v>#NAME?</v>
      </c>
      <c r="R16" s="53" t="e">
        <f ca="1">IF(ColorIndex('Student Details'!T27)=35,"",$I$16*$T$3)</f>
        <v>#NAME?</v>
      </c>
      <c r="S16" s="53" t="e">
        <f ca="1">IF(ColorIndex('Student Details'!U27)=35,"",$I$16*$T$3)</f>
        <v>#NAME?</v>
      </c>
      <c r="T16" s="53" t="e">
        <f ca="1">IF(ColorIndex('Student Details'!V27)=35,"",$I$16*$T$3)</f>
        <v>#NAME?</v>
      </c>
      <c r="U16" s="53" t="e">
        <f ca="1">IF(ColorIndex('Student Details'!W27)=35,"",$I$16*$T$3)</f>
        <v>#NAME?</v>
      </c>
      <c r="V16" s="39" t="e">
        <f ca="1">IFERROR(SUM(J16:U17)/COUNTIF(J16:U16,"&gt;0.0"),NA())</f>
        <v>#N/A</v>
      </c>
      <c r="W16" s="484" t="e">
        <f ca="1">(SUMIF(J18:U18,"&gt;0.0")/SUMIF(J19:U19,"&gt;0.0"))*100</f>
        <v>#DIV/0!</v>
      </c>
      <c r="X16" s="484" t="e">
        <f ca="1">IF(W16&gt;($Z$3*100),"Yes","No")</f>
        <v>#DIV/0!</v>
      </c>
      <c r="Y16" s="20"/>
      <c r="Z16" s="20"/>
      <c r="AA16" s="20"/>
      <c r="AF16" s="204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4"/>
      <c r="AT16" s="204"/>
    </row>
    <row r="17" spans="1:46" ht="18.75" customHeight="1">
      <c r="A17" s="20"/>
      <c r="B17" s="20"/>
      <c r="C17" s="20"/>
      <c r="D17" s="501"/>
      <c r="E17" s="502"/>
      <c r="F17" s="479"/>
      <c r="G17" s="479"/>
      <c r="H17" s="38" t="s">
        <v>67</v>
      </c>
      <c r="I17" s="40">
        <f>$L$3</f>
        <v>96.721311475409834</v>
      </c>
      <c r="J17" s="53" t="e">
        <f ca="1">IF(ColorIndex('Student Details'!L27)=35,"",$I$17*$T$4)</f>
        <v>#NAME?</v>
      </c>
      <c r="K17" s="53" t="e">
        <f ca="1">IF(ColorIndex('Student Details'!M27)=35,"",$I$17*$T$4)</f>
        <v>#NAME?</v>
      </c>
      <c r="L17" s="53" t="e">
        <f ca="1">IF(ColorIndex('Student Details'!N27)=35,"",$I$17*$T$4)</f>
        <v>#NAME?</v>
      </c>
      <c r="M17" s="53" t="e">
        <f ca="1">IF(ColorIndex('Student Details'!O27)=35,"",$I$17*$T$4)</f>
        <v>#NAME?</v>
      </c>
      <c r="N17" s="53" t="e">
        <f ca="1">IF(ColorIndex('Student Details'!P27)=35,"",$I$17*$T$4)</f>
        <v>#NAME?</v>
      </c>
      <c r="O17" s="53" t="e">
        <f ca="1">IF(ColorIndex('Student Details'!Q27)=35,"",$I$17*$T$4)</f>
        <v>#NAME?</v>
      </c>
      <c r="P17" s="53" t="e">
        <f ca="1">IF(ColorIndex('Student Details'!R27)=35,"",$I$17*$T$4)</f>
        <v>#NAME?</v>
      </c>
      <c r="Q17" s="53" t="e">
        <f ca="1">IF(ColorIndex('Student Details'!S27)=35,"",$I$17*$T$4)</f>
        <v>#NAME?</v>
      </c>
      <c r="R17" s="53" t="e">
        <f ca="1">IF(ColorIndex('Student Details'!T27)=35,"",$I$17*$T$4)</f>
        <v>#NAME?</v>
      </c>
      <c r="S17" s="53" t="e">
        <f ca="1">IF(ColorIndex('Student Details'!U27)=35,"",$I$17*$T$4)</f>
        <v>#NAME?</v>
      </c>
      <c r="T17" s="53" t="e">
        <f ca="1">IF(ColorIndex('Student Details'!V27)=35,"",$I$17*$T$4)</f>
        <v>#NAME?</v>
      </c>
      <c r="U17" s="53" t="e">
        <f ca="1">IF(ColorIndex('Student Details'!W27)=35,"",$I$17*$T$4)</f>
        <v>#NAME?</v>
      </c>
      <c r="V17" s="39" t="e">
        <f>NA()</f>
        <v>#N/A</v>
      </c>
      <c r="W17" s="485"/>
      <c r="X17" s="485"/>
      <c r="Y17" s="20"/>
      <c r="Z17" s="20"/>
      <c r="AA17" s="20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</row>
    <row r="18" spans="1:46" ht="18.75" customHeight="1">
      <c r="A18" s="20"/>
      <c r="B18" s="20"/>
      <c r="C18" s="20"/>
      <c r="D18" s="501"/>
      <c r="E18" s="502"/>
      <c r="F18" s="481" t="str">
        <f>D16 &amp; "     Attainment"</f>
        <v>C0.1     Attainment</v>
      </c>
      <c r="G18" s="482"/>
      <c r="H18" s="482"/>
      <c r="I18" s="483"/>
      <c r="J18" s="108" t="e">
        <f ca="1">IF(ColorIndex('Student Details'!L27)&gt;5,"",IF(ColorIndex('Student Details'!L27)=5,(J16/100)*1+(J17/100)*1,IF(ColorIndex('Student Details'!L27)=4,(J16/100)*2+(J17/100)*2,(J16/100)*3+(J17/100)*3)))</f>
        <v>#NAME?</v>
      </c>
      <c r="K18" s="108" t="e">
        <f ca="1">IF(ColorIndex('Student Details'!M27)&gt;5,"",IF(ColorIndex('Student Details'!M27)=5,(K16/100)*1+(K17/100)*1,IF(ColorIndex('Student Details'!M27)=4,(K16/100)*2+(K17/100)*2,(K16/100)*3+(K17/100)*3)))</f>
        <v>#NAME?</v>
      </c>
      <c r="L18" s="108" t="e">
        <f ca="1">IF(ColorIndex('Student Details'!N27)&gt;5,"",IF(ColorIndex('Student Details'!N27)=5,(L16/100)*1+(L17/100)*1,IF(ColorIndex('Student Details'!N27)=4,(L16/100)*2+(L17/100)*2,(L16/100)*3+(L17/100)*3)))</f>
        <v>#NAME?</v>
      </c>
      <c r="M18" s="108" t="e">
        <f ca="1">IF(ColorIndex('Student Details'!O27)&gt;5,"",IF(ColorIndex('Student Details'!O27)=5,(M16/100)*1+(M17/100)*1,IF(ColorIndex('Student Details'!O27)=4,(M16/100)*2+(M17/100)*2,(M16/100)*3+(M17/100)*3)))</f>
        <v>#NAME?</v>
      </c>
      <c r="N18" s="108" t="e">
        <f ca="1">IF(ColorIndex('Student Details'!P27)&gt;5,"",IF(ColorIndex('Student Details'!P27)=5,(N16/100)*1+(N17/100)*1,IF(ColorIndex('Student Details'!P27)=4,(N16/100)*2+(N17/100)*2,(N16/100)*3+(N17/100)*3)))</f>
        <v>#NAME?</v>
      </c>
      <c r="O18" s="108" t="e">
        <f ca="1">IF(ColorIndex('Student Details'!Q27)&gt;5,"",IF(ColorIndex('Student Details'!Q27)=5,(O16/100)*1+(O17/100)*1,IF(ColorIndex('Student Details'!Q27)=4,(O16/100)*2+(O17/100)*2,(O16/100)*3+(O17/100)*3)))</f>
        <v>#NAME?</v>
      </c>
      <c r="P18" s="108" t="e">
        <f ca="1">IF(ColorIndex('Student Details'!R27)&gt;5,"",IF(ColorIndex('Student Details'!R27)=5,(P16/100)*1+(P17/100)*1,IF(ColorIndex('Student Details'!R27)=4,(P16/100)*2+(P17/100)*2,(P16/100)*3+(P17/100)*3)))</f>
        <v>#NAME?</v>
      </c>
      <c r="Q18" s="108" t="e">
        <f ca="1">IF(ColorIndex('Student Details'!S27)&gt;5,"",IF(ColorIndex('Student Details'!S27)=5,(Q16/100)*1+(Q17/100)*1,IF(ColorIndex('Student Details'!S27)=4,(Q16/100)*2+(Q17/100)*2,(Q16/100)*3+(Q17/100)*3)))</f>
        <v>#NAME?</v>
      </c>
      <c r="R18" s="108" t="e">
        <f ca="1">IF(ColorIndex('Student Details'!T27)&gt;5,"",IF(ColorIndex('Student Details'!T27)=5,(R16/100)*1+(R17/100)*1,IF(ColorIndex('Student Details'!T27)=4,(R16/100)*2+(R17/100)*2,(R16/100)*3+(R17/100)*3)))</f>
        <v>#NAME?</v>
      </c>
      <c r="S18" s="108" t="e">
        <f ca="1">IF(ColorIndex('Student Details'!U27)&gt;5,"",IF(ColorIndex('Student Details'!U27)=5,(S16/100)*1+(S17/100)*1,IF(ColorIndex('Student Details'!U27)=4,(S16/100)*2+(S17/100)*2,(S16/100)*3+(S17/100)*3)))</f>
        <v>#NAME?</v>
      </c>
      <c r="T18" s="108" t="e">
        <f ca="1">IF(ColorIndex('Student Details'!V27)&gt;5,"",IF(ColorIndex('Student Details'!V27)=5,(T16/100)*1+(T17/100)*1,IF(ColorIndex('Student Details'!V27)=4,(T16/100)*2+(T17/100)*2,(T16/100)*3+(T17/100)*3)))</f>
        <v>#NAME?</v>
      </c>
      <c r="U18" s="108" t="e">
        <f ca="1">IF(ColorIndex('Student Details'!W27)&gt;5,"",IF(ColorIndex('Student Details'!W27)=5,(U16/100)*1+(U17/100)*1,IF(ColorIndex('Student Details'!W27)=4,(U16/100)*2+(U17/100)*2,(U16/100)*3+(U17/100)*3)))</f>
        <v>#NAME?</v>
      </c>
      <c r="V18" s="39" t="e">
        <f ca="1">IFERROR(SUM(J18:U18)/COUNTIF(J18:U18,"&gt;0.0"),NA())</f>
        <v>#N/A</v>
      </c>
      <c r="W18" s="486"/>
      <c r="X18" s="486"/>
      <c r="Y18" s="20"/>
      <c r="Z18" s="20"/>
      <c r="AA18" s="20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</row>
    <row r="19" spans="1:46" ht="18.75" hidden="1" customHeight="1">
      <c r="A19" s="20"/>
      <c r="B19" s="20"/>
      <c r="C19" s="20"/>
      <c r="D19" s="190"/>
      <c r="E19" s="191"/>
      <c r="F19" s="109"/>
      <c r="G19" s="110"/>
      <c r="H19" s="110"/>
      <c r="I19" s="111"/>
      <c r="J19" s="108" t="e">
        <f ca="1">IF(ColorIndex('Student Details'!L27)&gt;5,0,IF(ColorIndex('Student Details'!L27)=5,1,IF(ColorIndex('Student Details'!L27)=4,2,3)))</f>
        <v>#NAME?</v>
      </c>
      <c r="K19" s="108" t="e">
        <f ca="1">IF(ColorIndex('Student Details'!M27)&gt;5,0,IF(ColorIndex('Student Details'!M27)=5,1,IF(ColorIndex('Student Details'!M27)=4,2,3)))</f>
        <v>#NAME?</v>
      </c>
      <c r="L19" s="108" t="e">
        <f ca="1">IF(ColorIndex('Student Details'!N27)&gt;5,0,IF(ColorIndex('Student Details'!N27)=5,1,IF(ColorIndex('Student Details'!N27)=4,2,3)))</f>
        <v>#NAME?</v>
      </c>
      <c r="M19" s="108" t="e">
        <f ca="1">IF(ColorIndex('Student Details'!O27)&gt;5,0,IF(ColorIndex('Student Details'!O27)=5,1,IF(ColorIndex('Student Details'!O27)=4,2,3)))</f>
        <v>#NAME?</v>
      </c>
      <c r="N19" s="108" t="e">
        <f ca="1">IF(ColorIndex('Student Details'!P27)&gt;5,0,IF(ColorIndex('Student Details'!P27)=5,1,IF(ColorIndex('Student Details'!P27)=4,2,3)))</f>
        <v>#NAME?</v>
      </c>
      <c r="O19" s="108" t="e">
        <f ca="1">IF(ColorIndex('Student Details'!Q27)&gt;5,0,IF(ColorIndex('Student Details'!Q27)=5,1,IF(ColorIndex('Student Details'!Q27)=4,2,3)))</f>
        <v>#NAME?</v>
      </c>
      <c r="P19" s="108" t="e">
        <f ca="1">IF(ColorIndex('Student Details'!R27)&gt;5,0,IF(ColorIndex('Student Details'!R27)=5,1,IF(ColorIndex('Student Details'!R27)=4,2,3)))</f>
        <v>#NAME?</v>
      </c>
      <c r="Q19" s="108" t="e">
        <f ca="1">IF(ColorIndex('Student Details'!S27)&gt;5,0,IF(ColorIndex('Student Details'!S27)=5,1,IF(ColorIndex('Student Details'!S27)=4,2,3)))</f>
        <v>#NAME?</v>
      </c>
      <c r="R19" s="108" t="e">
        <f ca="1">IF(ColorIndex('Student Details'!T27)&gt;5,0,IF(ColorIndex('Student Details'!T27)=5,1,IF(ColorIndex('Student Details'!T27)=4,2,3)))</f>
        <v>#NAME?</v>
      </c>
      <c r="S19" s="108" t="e">
        <f ca="1">IF(ColorIndex('Student Details'!U27)&gt;5,0,IF(ColorIndex('Student Details'!U27)=5,1,IF(ColorIndex('Student Details'!U27)=4,2,3)))</f>
        <v>#NAME?</v>
      </c>
      <c r="T19" s="108" t="e">
        <f ca="1">IF(ColorIndex('Student Details'!V27)&gt;5,0,IF(ColorIndex('Student Details'!V27)=5,1,IF(ColorIndex('Student Details'!V27)=4,2,3)))</f>
        <v>#NAME?</v>
      </c>
      <c r="U19" s="108" t="e">
        <f ca="1">IF(ColorIndex('Student Details'!W27)&gt;5,0,IF(ColorIndex('Student Details'!W27)=5,1,IF(ColorIndex('Student Details'!W27)=4,2,3)))</f>
        <v>#NAME?</v>
      </c>
      <c r="V19" s="39"/>
      <c r="W19" s="104"/>
      <c r="X19" s="104"/>
      <c r="Y19" s="20"/>
      <c r="Z19" s="20"/>
      <c r="AA19" s="20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</row>
    <row r="20" spans="1:46" ht="18.75" customHeight="1">
      <c r="A20" s="20"/>
      <c r="B20" s="20"/>
      <c r="C20" s="20"/>
      <c r="D20" s="478" t="str">
        <f>'Student List'!$F$14</f>
        <v>C0.2</v>
      </c>
      <c r="E20" s="478"/>
      <c r="F20" s="479" t="s">
        <v>66</v>
      </c>
      <c r="G20" s="479"/>
      <c r="H20" s="38" t="s">
        <v>64</v>
      </c>
      <c r="I20" s="40">
        <f>$C$5</f>
        <v>43.822100789313907</v>
      </c>
      <c r="J20" s="53" t="e">
        <f ca="1">IF(ColorIndex('Student Details'!L$28)=35,"",$I$20*$T$3)</f>
        <v>#NAME?</v>
      </c>
      <c r="K20" s="53" t="e">
        <f ca="1">IF(ColorIndex('Student Details'!M$28)=35,"",$I$20*$T$3)</f>
        <v>#NAME?</v>
      </c>
      <c r="L20" s="53" t="e">
        <f ca="1">IF(ColorIndex('Student Details'!N$28)=35,"",$I$20*$T$3)</f>
        <v>#NAME?</v>
      </c>
      <c r="M20" s="53" t="e">
        <f ca="1">IF(ColorIndex('Student Details'!O$28)=35,"",$I$20*$T$3)</f>
        <v>#NAME?</v>
      </c>
      <c r="N20" s="53" t="e">
        <f ca="1">IF(ColorIndex('Student Details'!P$28)=35,"",$I$20*$T$3)</f>
        <v>#NAME?</v>
      </c>
      <c r="O20" s="53" t="e">
        <f ca="1">IF(ColorIndex('Student Details'!Q$28)=35,"",$I$20*$T$3)</f>
        <v>#NAME?</v>
      </c>
      <c r="P20" s="53" t="e">
        <f ca="1">IF(ColorIndex('Student Details'!R$28)=35,"",$I$20*$T$3)</f>
        <v>#NAME?</v>
      </c>
      <c r="Q20" s="53" t="e">
        <f ca="1">IF(ColorIndex('Student Details'!S$28)=35,"",$I$20*$T$3)</f>
        <v>#NAME?</v>
      </c>
      <c r="R20" s="53" t="e">
        <f ca="1">IF(ColorIndex('Student Details'!T$28)=35,"",$I$20*$T$3)</f>
        <v>#NAME?</v>
      </c>
      <c r="S20" s="53" t="e">
        <f ca="1">IF(ColorIndex('Student Details'!U$28)=35,"",$I$20*$T$3)</f>
        <v>#NAME?</v>
      </c>
      <c r="T20" s="53" t="e">
        <f ca="1">IF(ColorIndex('Student Details'!V$28)=35,"",$I$20*$T$3)</f>
        <v>#NAME?</v>
      </c>
      <c r="U20" s="53" t="e">
        <f ca="1">IF(ColorIndex('Student Details'!W$28)=35,"",$I$20*$T$3)</f>
        <v>#NAME?</v>
      </c>
      <c r="V20" s="39" t="e">
        <f ca="1">IFERROR(SUM(J20:U21)/COUNTIF(J20:U20,"&gt;0.0"),NA())</f>
        <v>#N/A</v>
      </c>
      <c r="W20" s="484" t="e">
        <f ca="1">(SUMIF(J22:U22,"&gt;0.0")/SUMIF(J23:U23,"&gt;0.0"))*100</f>
        <v>#DIV/0!</v>
      </c>
      <c r="X20" s="484" t="e">
        <f ca="1">IF(W20&gt;($Z$3*100),"Yes","No")</f>
        <v>#DIV/0!</v>
      </c>
      <c r="Y20" s="20"/>
      <c r="Z20" s="20"/>
      <c r="AA20" s="20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</row>
    <row r="21" spans="1:46" ht="18.75" customHeight="1">
      <c r="A21" s="20"/>
      <c r="B21" s="20"/>
      <c r="C21" s="20"/>
      <c r="D21" s="478"/>
      <c r="E21" s="478"/>
      <c r="F21" s="479"/>
      <c r="G21" s="479"/>
      <c r="H21" s="38" t="s">
        <v>67</v>
      </c>
      <c r="I21" s="40">
        <f>$L$3</f>
        <v>96.721311475409834</v>
      </c>
      <c r="J21" s="53" t="e">
        <f ca="1">IF(ColorIndex('Student Details'!L$28)=35,"",$I$21*$T$4)</f>
        <v>#NAME?</v>
      </c>
      <c r="K21" s="53" t="e">
        <f ca="1">IF(ColorIndex('Student Details'!M$28)=35,"",$I$21*$T$4)</f>
        <v>#NAME?</v>
      </c>
      <c r="L21" s="53" t="e">
        <f ca="1">IF(ColorIndex('Student Details'!N$28)=35,"",$I$21*$T$4)</f>
        <v>#NAME?</v>
      </c>
      <c r="M21" s="53" t="e">
        <f ca="1">IF(ColorIndex('Student Details'!O$28)=35,"",$I$21*$T$4)</f>
        <v>#NAME?</v>
      </c>
      <c r="N21" s="53" t="e">
        <f ca="1">IF(ColorIndex('Student Details'!P$28)=35,"",$I$21*$T$4)</f>
        <v>#NAME?</v>
      </c>
      <c r="O21" s="53" t="e">
        <f ca="1">IF(ColorIndex('Student Details'!Q$28)=35,"",$I$21*$T$4)</f>
        <v>#NAME?</v>
      </c>
      <c r="P21" s="53" t="e">
        <f ca="1">IF(ColorIndex('Student Details'!R$28)=35,"",$I$21*$T$4)</f>
        <v>#NAME?</v>
      </c>
      <c r="Q21" s="53" t="e">
        <f ca="1">IF(ColorIndex('Student Details'!S$28)=35,"",$I$21*$T$4)</f>
        <v>#NAME?</v>
      </c>
      <c r="R21" s="53" t="e">
        <f ca="1">IF(ColorIndex('Student Details'!T$28)=35,"",$I$21*$T$4)</f>
        <v>#NAME?</v>
      </c>
      <c r="S21" s="53" t="e">
        <f ca="1">IF(ColorIndex('Student Details'!U$28)=35,"",$I$21*$T$4)</f>
        <v>#NAME?</v>
      </c>
      <c r="T21" s="53" t="e">
        <f ca="1">IF(ColorIndex('Student Details'!V$28)=35,"",$I$21*$T$4)</f>
        <v>#NAME?</v>
      </c>
      <c r="U21" s="53" t="e">
        <f ca="1">IF(ColorIndex('Student Details'!W$28)=35,"",$I$21*$T$4)</f>
        <v>#NAME?</v>
      </c>
      <c r="V21" s="39" t="e">
        <f>NA()</f>
        <v>#N/A</v>
      </c>
      <c r="W21" s="485"/>
      <c r="X21" s="485"/>
      <c r="Y21" s="20"/>
      <c r="Z21" s="20"/>
      <c r="AA21" s="20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</row>
    <row r="22" spans="1:46" ht="18.75" customHeight="1">
      <c r="A22" s="20"/>
      <c r="B22" s="20"/>
      <c r="C22" s="20"/>
      <c r="D22" s="478"/>
      <c r="E22" s="478"/>
      <c r="F22" s="481" t="str">
        <f>D20 &amp; "     Attainment"</f>
        <v>C0.2     Attainment</v>
      </c>
      <c r="G22" s="482"/>
      <c r="H22" s="482"/>
      <c r="I22" s="483"/>
      <c r="J22" s="108" t="e">
        <f ca="1">IF(ColorIndex('Student Details'!L28)&gt;5,"",IF(ColorIndex('Student Details'!L28)=5,(J20/100)*1+(J21/100)*1,IF(ColorIndex('Student Details'!L28)=4,(J20/100)*2+(J21/100)*2,(J20/100)*3+(J21/100)*3)))</f>
        <v>#NAME?</v>
      </c>
      <c r="K22" s="108" t="e">
        <f ca="1">IF(ColorIndex('Student Details'!M28)&gt;5,"",IF(ColorIndex('Student Details'!M28)=5,(K20/100)*1+(K21/100)*1,IF(ColorIndex('Student Details'!M28)=4,(K20/100)*2+(K21/100)*2,(K20/100)*3+(K21/100)*3)))</f>
        <v>#NAME?</v>
      </c>
      <c r="L22" s="108" t="e">
        <f ca="1">IF(ColorIndex('Student Details'!N28)&gt;5,"",IF(ColorIndex('Student Details'!N28)=5,(L20/100)*1+(L21/100)*1,IF(ColorIndex('Student Details'!N28)=4,(L20/100)*2+(L21/100)*2,(L20/100)*3+(L21/100)*3)))</f>
        <v>#NAME?</v>
      </c>
      <c r="M22" s="108" t="e">
        <f ca="1">IF(ColorIndex('Student Details'!O28)&gt;5,"",IF(ColorIndex('Student Details'!O28)=5,(M20/100)*1+(M21/100)*1,IF(ColorIndex('Student Details'!O28)=4,(M20/100)*2+(M21/100)*2,(M20/100)*3+(M21/100)*3)))</f>
        <v>#NAME?</v>
      </c>
      <c r="N22" s="108" t="e">
        <f ca="1">IF(ColorIndex('Student Details'!P28)&gt;5,"",IF(ColorIndex('Student Details'!P28)=5,(N20/100)*1+(N21/100)*1,IF(ColorIndex('Student Details'!P28)=4,(N20/100)*2+(N21/100)*2,(N20/100)*3+(N21/100)*3)))</f>
        <v>#NAME?</v>
      </c>
      <c r="O22" s="108" t="e">
        <f ca="1">IF(ColorIndex('Student Details'!Q28)&gt;5,"",IF(ColorIndex('Student Details'!Q28)=5,(O20/100)*1+(O21/100)*1,IF(ColorIndex('Student Details'!Q28)=4,(O20/100)*2+(O21/100)*2,(O20/100)*3+(O21/100)*3)))</f>
        <v>#NAME?</v>
      </c>
      <c r="P22" s="108" t="e">
        <f ca="1">IF(ColorIndex('Student Details'!R28)&gt;5,"",IF(ColorIndex('Student Details'!R28)=5,(P20/100)*1+(P21/100)*1,IF(ColorIndex('Student Details'!R28)=4,(P20/100)*2+(P21/100)*2,(P20/100)*3+(P21/100)*3)))</f>
        <v>#NAME?</v>
      </c>
      <c r="Q22" s="108" t="e">
        <f ca="1">IF(ColorIndex('Student Details'!S28)&gt;5,"",IF(ColorIndex('Student Details'!S28)=5,(Q20/100)*1+(Q21/100)*1,IF(ColorIndex('Student Details'!S28)=4,(Q20/100)*2+(Q21/100)*2,(Q20/100)*3+(Q21/100)*3)))</f>
        <v>#NAME?</v>
      </c>
      <c r="R22" s="108" t="e">
        <f ca="1">IF(ColorIndex('Student Details'!T28)&gt;5,"",IF(ColorIndex('Student Details'!T28)=5,(R20/100)*1+(R21/100)*1,IF(ColorIndex('Student Details'!T28)=4,(R20/100)*2+(R21/100)*2,(R20/100)*3+(R21/100)*3)))</f>
        <v>#NAME?</v>
      </c>
      <c r="S22" s="108" t="e">
        <f ca="1">IF(ColorIndex('Student Details'!U28)&gt;5,"",IF(ColorIndex('Student Details'!U28)=5,(S20/100)*1+(S21/100)*1,IF(ColorIndex('Student Details'!U28)=4,(S20/100)*2+(S21/100)*2,(S20/100)*3+(S21/100)*3)))</f>
        <v>#NAME?</v>
      </c>
      <c r="T22" s="108" t="e">
        <f ca="1">IF(ColorIndex('Student Details'!V28)&gt;5,"",IF(ColorIndex('Student Details'!V28)=5,(T20/100)*1+(T21/100)*1,IF(ColorIndex('Student Details'!V28)=4,(T20/100)*2+(T21/100)*2,(T20/100)*3+(T21/100)*3)))</f>
        <v>#NAME?</v>
      </c>
      <c r="U22" s="108" t="e">
        <f ca="1">IF(ColorIndex('Student Details'!W28)&gt;5,"",IF(ColorIndex('Student Details'!W28)=5,(U20/100)*1+(U21/100)*1,IF(ColorIndex('Student Details'!W28)=4,(U20/100)*2+(U21/100)*2,(U20/100)*3+(U21/100)*3)))</f>
        <v>#NAME?</v>
      </c>
      <c r="V22" s="39" t="e">
        <f ca="1">IFERROR(SUM(J22:U22)/COUNTIF(J22:U22,"&gt;0.0"),NA())</f>
        <v>#N/A</v>
      </c>
      <c r="W22" s="486"/>
      <c r="X22" s="486"/>
      <c r="Y22" s="20"/>
      <c r="Z22" s="20"/>
      <c r="AA22" s="20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</row>
    <row r="23" spans="1:46" ht="18.75" hidden="1" customHeight="1">
      <c r="A23" s="20"/>
      <c r="B23" s="20"/>
      <c r="C23" s="20"/>
      <c r="D23" s="190"/>
      <c r="E23" s="191"/>
      <c r="F23" s="109"/>
      <c r="G23" s="110"/>
      <c r="H23" s="110"/>
      <c r="I23" s="111"/>
      <c r="J23" s="108" t="e">
        <f ca="1">IF(ColorIndex('Student Details'!L28)&gt;5,0,IF(ColorIndex('Student Details'!L28)=5,1,IF(ColorIndex('Student Details'!L28)=4,2,3)))</f>
        <v>#NAME?</v>
      </c>
      <c r="K23" s="108" t="e">
        <f ca="1">IF(ColorIndex('Student Details'!M28)&gt;5,0,IF(ColorIndex('Student Details'!M28)=5,1,IF(ColorIndex('Student Details'!M28)=4,2,3)))</f>
        <v>#NAME?</v>
      </c>
      <c r="L23" s="108" t="e">
        <f ca="1">IF(ColorIndex('Student Details'!N28)&gt;5,0,IF(ColorIndex('Student Details'!N28)=5,1,IF(ColorIndex('Student Details'!N28)=4,2,3)))</f>
        <v>#NAME?</v>
      </c>
      <c r="M23" s="108" t="e">
        <f ca="1">IF(ColorIndex('Student Details'!O28)&gt;5,0,IF(ColorIndex('Student Details'!O28)=5,1,IF(ColorIndex('Student Details'!O28)=4,2,3)))</f>
        <v>#NAME?</v>
      </c>
      <c r="N23" s="108" t="e">
        <f ca="1">IF(ColorIndex('Student Details'!P28)&gt;5,0,IF(ColorIndex('Student Details'!P28)=5,1,IF(ColorIndex('Student Details'!P28)=4,2,3)))</f>
        <v>#NAME?</v>
      </c>
      <c r="O23" s="108" t="e">
        <f ca="1">IF(ColorIndex('Student Details'!Q28)&gt;5,0,IF(ColorIndex('Student Details'!Q28)=5,1,IF(ColorIndex('Student Details'!Q28)=4,2,3)))</f>
        <v>#NAME?</v>
      </c>
      <c r="P23" s="108" t="e">
        <f ca="1">IF(ColorIndex('Student Details'!R28)&gt;5,0,IF(ColorIndex('Student Details'!R28)=5,1,IF(ColorIndex('Student Details'!R28)=4,2,3)))</f>
        <v>#NAME?</v>
      </c>
      <c r="Q23" s="108" t="e">
        <f ca="1">IF(ColorIndex('Student Details'!S28)&gt;5,0,IF(ColorIndex('Student Details'!S28)=5,1,IF(ColorIndex('Student Details'!S28)=4,2,3)))</f>
        <v>#NAME?</v>
      </c>
      <c r="R23" s="108" t="e">
        <f ca="1">IF(ColorIndex('Student Details'!T28)&gt;5,0,IF(ColorIndex('Student Details'!T28)=5,1,IF(ColorIndex('Student Details'!T28)=4,2,3)))</f>
        <v>#NAME?</v>
      </c>
      <c r="S23" s="108" t="e">
        <f ca="1">IF(ColorIndex('Student Details'!U28)&gt;5,0,IF(ColorIndex('Student Details'!U28)=5,1,IF(ColorIndex('Student Details'!U28)=4,2,3)))</f>
        <v>#NAME?</v>
      </c>
      <c r="T23" s="108" t="e">
        <f ca="1">IF(ColorIndex('Student Details'!V28)&gt;5,0,IF(ColorIndex('Student Details'!V28)=5,1,IF(ColorIndex('Student Details'!V28)=4,2,3)))</f>
        <v>#NAME?</v>
      </c>
      <c r="U23" s="108" t="e">
        <f ca="1">IF(ColorIndex('Student Details'!W28)&gt;5,0,IF(ColorIndex('Student Details'!W28)=5,1,IF(ColorIndex('Student Details'!W28)=4,2,3)))</f>
        <v>#NAME?</v>
      </c>
      <c r="V23" s="39"/>
      <c r="W23" s="104"/>
      <c r="X23" s="104"/>
      <c r="Y23" s="20"/>
      <c r="Z23" s="20"/>
      <c r="AA23" s="20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</row>
    <row r="24" spans="1:46" ht="18.75" customHeight="1">
      <c r="A24" s="20"/>
      <c r="B24" s="20"/>
      <c r="C24" s="20"/>
      <c r="D24" s="478" t="str">
        <f>'Student List'!$F$16</f>
        <v>C0.3</v>
      </c>
      <c r="E24" s="478"/>
      <c r="F24" s="479" t="s">
        <v>66</v>
      </c>
      <c r="G24" s="479"/>
      <c r="H24" s="38" t="s">
        <v>64</v>
      </c>
      <c r="I24" s="40">
        <f>$C$6</f>
        <v>71.136363636363626</v>
      </c>
      <c r="J24" s="53" t="e">
        <f ca="1">IF(ColorIndex('Student Details'!L$29)=35,"",$I$24*$T$3)</f>
        <v>#NAME?</v>
      </c>
      <c r="K24" s="53" t="e">
        <f ca="1">IF(ColorIndex('Student Details'!M$29)=35,"",$I$24*$T$3)</f>
        <v>#NAME?</v>
      </c>
      <c r="L24" s="53" t="e">
        <f ca="1">IF(ColorIndex('Student Details'!N$29)=35,"",$I$24*$T$3)</f>
        <v>#NAME?</v>
      </c>
      <c r="M24" s="53" t="e">
        <f ca="1">IF(ColorIndex('Student Details'!O$29)=35,"",$I$24*$T$3)</f>
        <v>#NAME?</v>
      </c>
      <c r="N24" s="53" t="e">
        <f ca="1">IF(ColorIndex('Student Details'!P$29)=35,"",$I$24*$T$3)</f>
        <v>#NAME?</v>
      </c>
      <c r="O24" s="53" t="e">
        <f ca="1">IF(ColorIndex('Student Details'!Q$29)=35,"",$I$24*$T$3)</f>
        <v>#NAME?</v>
      </c>
      <c r="P24" s="53" t="e">
        <f ca="1">IF(ColorIndex('Student Details'!R$29)=35,"",$I$24*$T$3)</f>
        <v>#NAME?</v>
      </c>
      <c r="Q24" s="53" t="e">
        <f ca="1">IF(ColorIndex('Student Details'!S$29)=35,"",$I$24*$T$3)</f>
        <v>#NAME?</v>
      </c>
      <c r="R24" s="53" t="e">
        <f ca="1">IF(ColorIndex('Student Details'!T$29)=35,"",$I$24*$T$3)</f>
        <v>#NAME?</v>
      </c>
      <c r="S24" s="53" t="e">
        <f ca="1">IF(ColorIndex('Student Details'!U$29)=35,"",$I$24*$T$3)</f>
        <v>#NAME?</v>
      </c>
      <c r="T24" s="53" t="e">
        <f ca="1">IF(ColorIndex('Student Details'!V$29)=35,"",$I$24*$T$3)</f>
        <v>#NAME?</v>
      </c>
      <c r="U24" s="53" t="e">
        <f ca="1">IF(ColorIndex('Student Details'!W$29)=35,"",$I$24*$T$3)</f>
        <v>#NAME?</v>
      </c>
      <c r="V24" s="39" t="e">
        <f ca="1">IFERROR(SUM(J24:U25)/COUNTIF(J24:U24,"&gt;0.0"),NA())</f>
        <v>#N/A</v>
      </c>
      <c r="W24" s="484" t="e">
        <f ca="1">(SUMIF(J26:U26,"&gt;0.0")/SUMIF(J27:U27,"&gt;0.0"))*100</f>
        <v>#DIV/0!</v>
      </c>
      <c r="X24" s="484" t="e">
        <f ca="1">IF(W24&gt;($Z$3*100),"Yes","No")</f>
        <v>#DIV/0!</v>
      </c>
      <c r="Y24" s="20"/>
      <c r="Z24" s="20"/>
      <c r="AA24" s="20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</row>
    <row r="25" spans="1:46" ht="18.75" customHeight="1">
      <c r="A25" s="20"/>
      <c r="B25" s="20"/>
      <c r="C25" s="20"/>
      <c r="D25" s="478"/>
      <c r="E25" s="478"/>
      <c r="F25" s="479"/>
      <c r="G25" s="479"/>
      <c r="H25" s="38" t="s">
        <v>67</v>
      </c>
      <c r="I25" s="40">
        <f>$L$3</f>
        <v>96.721311475409834</v>
      </c>
      <c r="J25" s="53" t="e">
        <f ca="1">IF(ColorIndex('Student Details'!L$29)=35,"",$I$25*$T$4)</f>
        <v>#NAME?</v>
      </c>
      <c r="K25" s="53" t="e">
        <f ca="1">IF(ColorIndex('Student Details'!M$29)=35,"",$I$25*$T$4)</f>
        <v>#NAME?</v>
      </c>
      <c r="L25" s="53" t="e">
        <f ca="1">IF(ColorIndex('Student Details'!N$29)=35,"",$I$25*$T$4)</f>
        <v>#NAME?</v>
      </c>
      <c r="M25" s="53" t="e">
        <f ca="1">IF(ColorIndex('Student Details'!O$29)=35,"",$I$25*$T$4)</f>
        <v>#NAME?</v>
      </c>
      <c r="N25" s="53" t="e">
        <f ca="1">IF(ColorIndex('Student Details'!P$29)=35,"",$I$25*$T$4)</f>
        <v>#NAME?</v>
      </c>
      <c r="O25" s="53" t="e">
        <f ca="1">IF(ColorIndex('Student Details'!Q$29)=35,"",$I$25*$T$4)</f>
        <v>#NAME?</v>
      </c>
      <c r="P25" s="53" t="e">
        <f ca="1">IF(ColorIndex('Student Details'!R$29)=35,"",$I$25*$T$4)</f>
        <v>#NAME?</v>
      </c>
      <c r="Q25" s="53" t="e">
        <f ca="1">IF(ColorIndex('Student Details'!S$29)=35,"",$I$25*$T$4)</f>
        <v>#NAME?</v>
      </c>
      <c r="R25" s="53" t="e">
        <f ca="1">IF(ColorIndex('Student Details'!T$29)=35,"",$I$25*$T$4)</f>
        <v>#NAME?</v>
      </c>
      <c r="S25" s="53" t="e">
        <f ca="1">IF(ColorIndex('Student Details'!U$29)=35,"",$I$25*$T$4)</f>
        <v>#NAME?</v>
      </c>
      <c r="T25" s="53" t="e">
        <f ca="1">IF(ColorIndex('Student Details'!V$29)=35,"",$I$25*$T$4)</f>
        <v>#NAME?</v>
      </c>
      <c r="U25" s="53" t="e">
        <f ca="1">IF(ColorIndex('Student Details'!W$29)=35,"",$I$25*$T$4)</f>
        <v>#NAME?</v>
      </c>
      <c r="V25" s="39" t="e">
        <f>NA()</f>
        <v>#N/A</v>
      </c>
      <c r="W25" s="485"/>
      <c r="X25" s="485"/>
      <c r="Y25" s="20"/>
      <c r="Z25" s="20"/>
      <c r="AA25" s="20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</row>
    <row r="26" spans="1:46" ht="18.75" customHeight="1">
      <c r="A26" s="20"/>
      <c r="B26" s="20"/>
      <c r="C26" s="20"/>
      <c r="D26" s="478"/>
      <c r="E26" s="478"/>
      <c r="F26" s="481" t="str">
        <f>D24 &amp; "     Attainment"</f>
        <v>C0.3     Attainment</v>
      </c>
      <c r="G26" s="482"/>
      <c r="H26" s="482"/>
      <c r="I26" s="483"/>
      <c r="J26" s="108" t="e">
        <f ca="1">IF(ColorIndex('Student Details'!L29)&gt;5,"",IF(ColorIndex('Student Details'!L29)=5,(J24/100)*1+(J25/100)*1,IF(ColorIndex('Student Details'!L29)=4,(J24/100)*2+(J25/100)*2,(J24/100)*3+(J25/100)*3)))</f>
        <v>#NAME?</v>
      </c>
      <c r="K26" s="108" t="e">
        <f ca="1">IF(ColorIndex('Student Details'!M29)&gt;5,"",IF(ColorIndex('Student Details'!M29)=5,(K24/100)*1+(K25/100)*1,IF(ColorIndex('Student Details'!M29)=4,(K24/100)*2+(K25/100)*2,(K24/100)*3+(K25/100)*3)))</f>
        <v>#NAME?</v>
      </c>
      <c r="L26" s="108" t="e">
        <f ca="1">IF(ColorIndex('Student Details'!N29)&gt;5,"",IF(ColorIndex('Student Details'!N29)=5,(L24/100)*1+(L25/100)*1,IF(ColorIndex('Student Details'!N29)=4,(L24/100)*2+(L25/100)*2,(L24/100)*3+(L25/100)*3)))</f>
        <v>#NAME?</v>
      </c>
      <c r="M26" s="108" t="e">
        <f ca="1">IF(ColorIndex('Student Details'!O29)&gt;5,"",IF(ColorIndex('Student Details'!O29)=5,(M24/100)*1+(M25/100)*1,IF(ColorIndex('Student Details'!O29)=4,(M24/100)*2+(M25/100)*2,(M24/100)*3+(M25/100)*3)))</f>
        <v>#NAME?</v>
      </c>
      <c r="N26" s="108" t="e">
        <f ca="1">IF(ColorIndex('Student Details'!P29)&gt;5,"",IF(ColorIndex('Student Details'!P29)=5,(N24/100)*1+(N25/100)*1,IF(ColorIndex('Student Details'!P29)=4,(N24/100)*2+(N25/100)*2,(N24/100)*3+(N25/100)*3)))</f>
        <v>#NAME?</v>
      </c>
      <c r="O26" s="108" t="e">
        <f ca="1">IF(ColorIndex('Student Details'!Q29)&gt;5,"",IF(ColorIndex('Student Details'!Q29)=5,(O24/100)*1+(O25/100)*1,IF(ColorIndex('Student Details'!Q29)=4,(O24/100)*2+(O25/100)*2,(O24/100)*3+(O25/100)*3)))</f>
        <v>#NAME?</v>
      </c>
      <c r="P26" s="108" t="e">
        <f ca="1">IF(ColorIndex('Student Details'!R29)&gt;5,"",IF(ColorIndex('Student Details'!R29)=5,(P24/100)*1+(P25/100)*1,IF(ColorIndex('Student Details'!R29)=4,(P24/100)*2+(P25/100)*2,(P24/100)*3+(P25/100)*3)))</f>
        <v>#NAME?</v>
      </c>
      <c r="Q26" s="108" t="e">
        <f ca="1">IF(ColorIndex('Student Details'!S29)&gt;5,"",IF(ColorIndex('Student Details'!S29)=5,(Q24/100)*1+(Q25/100)*1,IF(ColorIndex('Student Details'!S29)=4,(Q24/100)*2+(Q25/100)*2,(Q24/100)*3+(Q25/100)*3)))</f>
        <v>#NAME?</v>
      </c>
      <c r="R26" s="108" t="e">
        <f ca="1">IF(ColorIndex('Student Details'!T29)&gt;5,"",IF(ColorIndex('Student Details'!T29)=5,(R24/100)*1+(R25/100)*1,IF(ColorIndex('Student Details'!T29)=4,(R24/100)*2+(R25/100)*2,(R24/100)*3+(R25/100)*3)))</f>
        <v>#NAME?</v>
      </c>
      <c r="S26" s="108" t="e">
        <f ca="1">IF(ColorIndex('Student Details'!U29)&gt;5,"",IF(ColorIndex('Student Details'!U29)=5,(S24/100)*1+(S25/100)*1,IF(ColorIndex('Student Details'!U29)=4,(S24/100)*2+(S25/100)*2,(S24/100)*3+(S25/100)*3)))</f>
        <v>#NAME?</v>
      </c>
      <c r="T26" s="108" t="e">
        <f ca="1">IF(ColorIndex('Student Details'!V29)&gt;5,"",IF(ColorIndex('Student Details'!V29)=5,(T24/100)*1+(T25/100)*1,IF(ColorIndex('Student Details'!V29)=4,(T24/100)*2+(T25/100)*2,(T24/100)*3+(T25/100)*3)))</f>
        <v>#NAME?</v>
      </c>
      <c r="U26" s="108" t="e">
        <f ca="1">IF(ColorIndex('Student Details'!W29)&gt;5,"",IF(ColorIndex('Student Details'!W29)=5,(U24/100)*1+(U25/100)*1,IF(ColorIndex('Student Details'!W29)=4,(U24/100)*2+(U25/100)*2,(U24/100)*3+(U25/100)*3)))</f>
        <v>#NAME?</v>
      </c>
      <c r="V26" s="39">
        <f ca="1">IFERROR(SUM(J26:U26)/COUNTIF(J26:U26,"&gt;0.0"),0)</f>
        <v>0</v>
      </c>
      <c r="W26" s="486"/>
      <c r="X26" s="486"/>
      <c r="Y26" s="20"/>
      <c r="Z26" s="20"/>
      <c r="AA26" s="20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</row>
    <row r="27" spans="1:46" ht="18.75" hidden="1" customHeight="1">
      <c r="A27" s="20"/>
      <c r="B27" s="20"/>
      <c r="C27" s="20"/>
      <c r="D27" s="192"/>
      <c r="E27" s="192"/>
      <c r="F27" s="109"/>
      <c r="G27" s="110"/>
      <c r="H27" s="110"/>
      <c r="I27" s="111"/>
      <c r="J27" s="108" t="e">
        <f ca="1">IF(ColorIndex('Student Details'!L29)&gt;5,0,IF(ColorIndex('Student Details'!L29)=5,1,IF(ColorIndex('Student Details'!L29)=4,2,3)))</f>
        <v>#NAME?</v>
      </c>
      <c r="K27" s="108" t="e">
        <f ca="1">IF(ColorIndex('Student Details'!M29)&gt;5,0,IF(ColorIndex('Student Details'!M29)=5,1,IF(ColorIndex('Student Details'!M29)=4,2,3)))</f>
        <v>#NAME?</v>
      </c>
      <c r="L27" s="108" t="e">
        <f ca="1">IF(ColorIndex('Student Details'!N29)&gt;5,0,IF(ColorIndex('Student Details'!N29)=5,1,IF(ColorIndex('Student Details'!N29)=4,2,3)))</f>
        <v>#NAME?</v>
      </c>
      <c r="M27" s="108" t="e">
        <f ca="1">IF(ColorIndex('Student Details'!O29)&gt;5,0,IF(ColorIndex('Student Details'!O29)=5,1,IF(ColorIndex('Student Details'!O29)=4,2,3)))</f>
        <v>#NAME?</v>
      </c>
      <c r="N27" s="108" t="e">
        <f ca="1">IF(ColorIndex('Student Details'!P29)&gt;5,0,IF(ColorIndex('Student Details'!P29)=5,1,IF(ColorIndex('Student Details'!P29)=4,2,3)))</f>
        <v>#NAME?</v>
      </c>
      <c r="O27" s="108" t="e">
        <f ca="1">IF(ColorIndex('Student Details'!Q29)&gt;5,0,IF(ColorIndex('Student Details'!Q29)=5,1,IF(ColorIndex('Student Details'!Q29)=4,2,3)))</f>
        <v>#NAME?</v>
      </c>
      <c r="P27" s="108" t="e">
        <f ca="1">IF(ColorIndex('Student Details'!R29)&gt;5,0,IF(ColorIndex('Student Details'!R29)=5,1,IF(ColorIndex('Student Details'!R29)=4,2,3)))</f>
        <v>#NAME?</v>
      </c>
      <c r="Q27" s="108" t="e">
        <f ca="1">IF(ColorIndex('Student Details'!S29)&gt;5,0,IF(ColorIndex('Student Details'!S29)=5,1,IF(ColorIndex('Student Details'!S29)=4,2,3)))</f>
        <v>#NAME?</v>
      </c>
      <c r="R27" s="108" t="e">
        <f ca="1">IF(ColorIndex('Student Details'!T29)&gt;5,0,IF(ColorIndex('Student Details'!T29)=5,1,IF(ColorIndex('Student Details'!T29)=4,2,3)))</f>
        <v>#NAME?</v>
      </c>
      <c r="S27" s="108" t="e">
        <f ca="1">IF(ColorIndex('Student Details'!U29)&gt;5,0,IF(ColorIndex('Student Details'!U29)=5,1,IF(ColorIndex('Student Details'!U29)=4,2,3)))</f>
        <v>#NAME?</v>
      </c>
      <c r="T27" s="108" t="e">
        <f ca="1">IF(ColorIndex('Student Details'!V29)&gt;5,0,IF(ColorIndex('Student Details'!V29)=5,1,IF(ColorIndex('Student Details'!V29)=4,2,3)))</f>
        <v>#NAME?</v>
      </c>
      <c r="U27" s="108" t="e">
        <f ca="1">IF(ColorIndex('Student Details'!W29)&gt;5,0,IF(ColorIndex('Student Details'!W29)=5,1,IF(ColorIndex('Student Details'!W29)=4,2,3)))</f>
        <v>#NAME?</v>
      </c>
      <c r="V27" s="39"/>
      <c r="W27" s="104"/>
      <c r="X27" s="104"/>
      <c r="Y27" s="20"/>
      <c r="Z27" s="20"/>
      <c r="AA27" s="20"/>
    </row>
    <row r="28" spans="1:46" ht="18.75" customHeight="1">
      <c r="A28" s="20"/>
      <c r="B28" s="20"/>
      <c r="C28" s="20"/>
      <c r="D28" s="478" t="str">
        <f>'Student List'!$F$18</f>
        <v>C0.4</v>
      </c>
      <c r="E28" s="478"/>
      <c r="F28" s="479" t="s">
        <v>66</v>
      </c>
      <c r="G28" s="479"/>
      <c r="H28" s="38" t="s">
        <v>64</v>
      </c>
      <c r="I28" s="40">
        <f>$C$7</f>
        <v>66.101694915254242</v>
      </c>
      <c r="J28" s="53" t="e">
        <f ca="1">IF(ColorIndex('Student Details'!L$30)=35,"",$I$28*$T$3)</f>
        <v>#NAME?</v>
      </c>
      <c r="K28" s="53" t="e">
        <f ca="1">IF(ColorIndex('Student Details'!M$30)=35,"",$I$28*$T$3)</f>
        <v>#NAME?</v>
      </c>
      <c r="L28" s="53" t="e">
        <f ca="1">IF(ColorIndex('Student Details'!N$30)=35,"",$I$28*$T$3)</f>
        <v>#NAME?</v>
      </c>
      <c r="M28" s="53" t="e">
        <f ca="1">IF(ColorIndex('Student Details'!O$30)=35,"",$I$28*$T$3)</f>
        <v>#NAME?</v>
      </c>
      <c r="N28" s="53" t="e">
        <f ca="1">IF(ColorIndex('Student Details'!P$30)=35,"",$I$28*$T$3)</f>
        <v>#NAME?</v>
      </c>
      <c r="O28" s="53" t="e">
        <f ca="1">IF(ColorIndex('Student Details'!Q$30)=35,"",$I$28*$T$3)</f>
        <v>#NAME?</v>
      </c>
      <c r="P28" s="53" t="e">
        <f ca="1">IF(ColorIndex('Student Details'!R$30)=35,"",$I$28*$T$3)</f>
        <v>#NAME?</v>
      </c>
      <c r="Q28" s="53" t="e">
        <f ca="1">IF(ColorIndex('Student Details'!S$30)=35,"",$I$28*$T$3)</f>
        <v>#NAME?</v>
      </c>
      <c r="R28" s="53" t="e">
        <f ca="1">IF(ColorIndex('Student Details'!T$30)=35,"",$I$28*$T$3)</f>
        <v>#NAME?</v>
      </c>
      <c r="S28" s="53" t="e">
        <f ca="1">IF(ColorIndex('Student Details'!U$30)=35,"",$I$28*$T$3)</f>
        <v>#NAME?</v>
      </c>
      <c r="T28" s="53" t="e">
        <f ca="1">IF(ColorIndex('Student Details'!V$30)=35,"",$I$28*$T$3)</f>
        <v>#NAME?</v>
      </c>
      <c r="U28" s="53" t="e">
        <f ca="1">IF(ColorIndex('Student Details'!W$30)=35,"",$I$28*$T$3)</f>
        <v>#NAME?</v>
      </c>
      <c r="V28" s="39" t="e">
        <f ca="1">IFERROR(SUM(J28:U29)/COUNTIF(J28:U28,"&gt;0.0"),NA())</f>
        <v>#N/A</v>
      </c>
      <c r="W28" s="484" t="e">
        <f ca="1">(SUMIF(J30:U30,"&gt;0.0")/SUMIF(J31:U31,"&gt;0.0"))*100</f>
        <v>#DIV/0!</v>
      </c>
      <c r="X28" s="484" t="e">
        <f ca="1">IF(W28&gt;($Z$3*100),"Yes","No")</f>
        <v>#DIV/0!</v>
      </c>
      <c r="Y28" s="20"/>
      <c r="Z28" s="20"/>
      <c r="AA28" s="20"/>
    </row>
    <row r="29" spans="1:46" ht="18.75" customHeight="1">
      <c r="A29" s="20"/>
      <c r="B29" s="20"/>
      <c r="C29" s="20"/>
      <c r="D29" s="478"/>
      <c r="E29" s="478"/>
      <c r="F29" s="479"/>
      <c r="G29" s="479"/>
      <c r="H29" s="38" t="s">
        <v>67</v>
      </c>
      <c r="I29" s="40">
        <f>$L$3</f>
        <v>96.721311475409834</v>
      </c>
      <c r="J29" s="53" t="e">
        <f ca="1">IF(ColorIndex('Student Details'!L$30)=35,"",$I$29*$T$4)</f>
        <v>#NAME?</v>
      </c>
      <c r="K29" s="53" t="e">
        <f ca="1">IF(ColorIndex('Student Details'!M$30)=35,"",$I$29*$T$4)</f>
        <v>#NAME?</v>
      </c>
      <c r="L29" s="53" t="e">
        <f ca="1">IF(ColorIndex('Student Details'!N$30)=35,"",$I$29*$T$4)</f>
        <v>#NAME?</v>
      </c>
      <c r="M29" s="53" t="e">
        <f ca="1">IF(ColorIndex('Student Details'!O$30)=35,"",$I$29*$T$4)</f>
        <v>#NAME?</v>
      </c>
      <c r="N29" s="53" t="e">
        <f ca="1">IF(ColorIndex('Student Details'!P$30)=35,"",$I$29*$T$4)</f>
        <v>#NAME?</v>
      </c>
      <c r="O29" s="53" t="e">
        <f ca="1">IF(ColorIndex('Student Details'!Q$30)=35,"",$I$29*$T$4)</f>
        <v>#NAME?</v>
      </c>
      <c r="P29" s="53" t="e">
        <f ca="1">IF(ColorIndex('Student Details'!R$30)=35,"",$I$29*$T$4)</f>
        <v>#NAME?</v>
      </c>
      <c r="Q29" s="53" t="e">
        <f ca="1">IF(ColorIndex('Student Details'!S$30)=35,"",$I$29*$T$4)</f>
        <v>#NAME?</v>
      </c>
      <c r="R29" s="53" t="e">
        <f ca="1">IF(ColorIndex('Student Details'!T$30)=35,"",$I$29*$T$4)</f>
        <v>#NAME?</v>
      </c>
      <c r="S29" s="53" t="e">
        <f ca="1">IF(ColorIndex('Student Details'!U$30)=35,"",$I$29*$T$4)</f>
        <v>#NAME?</v>
      </c>
      <c r="T29" s="53" t="e">
        <f ca="1">IF(ColorIndex('Student Details'!V$30)=35,"",$I$29*$T$4)</f>
        <v>#NAME?</v>
      </c>
      <c r="U29" s="53" t="e">
        <f ca="1">IF(ColorIndex('Student Details'!W$30)=35,"",$I$29*$T$4)</f>
        <v>#NAME?</v>
      </c>
      <c r="V29" s="39" t="e">
        <f>NA()</f>
        <v>#N/A</v>
      </c>
      <c r="W29" s="485"/>
      <c r="X29" s="485"/>
      <c r="Y29" s="20"/>
      <c r="Z29" s="20"/>
      <c r="AA29" s="20"/>
    </row>
    <row r="30" spans="1:46" ht="18.75" customHeight="1">
      <c r="A30" s="20"/>
      <c r="B30" s="20"/>
      <c r="C30" s="20"/>
      <c r="D30" s="478"/>
      <c r="E30" s="478"/>
      <c r="F30" s="481" t="str">
        <f>D28 &amp; "     Attainment"</f>
        <v>C0.4     Attainment</v>
      </c>
      <c r="G30" s="482"/>
      <c r="H30" s="482"/>
      <c r="I30" s="483"/>
      <c r="J30" s="108" t="e">
        <f ca="1">IF(ColorIndex('Student Details'!L30)&gt;5,"",IF(ColorIndex('Student Details'!L30)=5,(J28/100)*1+(J29/100)*1,IF(ColorIndex('Student Details'!L30)=4,(J28/100)*2+(J29/100)*2,(J28/100)*3+(J29/100)*3)))</f>
        <v>#NAME?</v>
      </c>
      <c r="K30" s="108" t="e">
        <f ca="1">IF(ColorIndex('Student Details'!M30)&gt;5,"",IF(ColorIndex('Student Details'!M30)=5,(K28/100)*1+(K29/100)*1,IF(ColorIndex('Student Details'!M30)=4,(K28/100)*2+(K29/100)*2,(K28/100)*3+(K29/100)*3)))</f>
        <v>#NAME?</v>
      </c>
      <c r="L30" s="108" t="e">
        <f ca="1">IF(ColorIndex('Student Details'!N30)&gt;5,"",IF(ColorIndex('Student Details'!N30)=5,(L28/100)*1+(L29/100)*1,IF(ColorIndex('Student Details'!N30)=4,(L28/100)*2+(L29/100)*2,(L28/100)*3+(L29/100)*3)))</f>
        <v>#NAME?</v>
      </c>
      <c r="M30" s="108" t="e">
        <f ca="1">IF(ColorIndex('Student Details'!O30)&gt;5,"",IF(ColorIndex('Student Details'!O30)=5,(M28/100)*1+(M29/100)*1,IF(ColorIndex('Student Details'!O30)=4,(M28/100)*2+(M29/100)*2,(M28/100)*3+(M29/100)*3)))</f>
        <v>#NAME?</v>
      </c>
      <c r="N30" s="108" t="e">
        <f ca="1">IF(ColorIndex('Student Details'!P30)&gt;5,"",IF(ColorIndex('Student Details'!P30)=5,(N28/100)*1+(N29/100)*1,IF(ColorIndex('Student Details'!P30)=4,(N28/100)*2+(N29/100)*2,(N28/100)*3+(N29/100)*3)))</f>
        <v>#NAME?</v>
      </c>
      <c r="O30" s="108" t="e">
        <f ca="1">IF(ColorIndex('Student Details'!Q30)&gt;5,"",IF(ColorIndex('Student Details'!Q30)=5,(O28/100)*1+(O29/100)*1,IF(ColorIndex('Student Details'!Q30)=4,(O28/100)*2+(O29/100)*2,(O28/100)*3+(O29/100)*3)))</f>
        <v>#NAME?</v>
      </c>
      <c r="P30" s="108" t="e">
        <f ca="1">IF(ColorIndex('Student Details'!R30)&gt;5,"",IF(ColorIndex('Student Details'!R30)=5,(P28/100)*1+(P29/100)*1,IF(ColorIndex('Student Details'!R30)=4,(P28/100)*2+(P29/100)*2,(P28/100)*3+(P29/100)*3)))</f>
        <v>#NAME?</v>
      </c>
      <c r="Q30" s="108" t="e">
        <f ca="1">IF(ColorIndex('Student Details'!S30)&gt;5,"",IF(ColorIndex('Student Details'!S30)=5,(Q28/100)*1+(Q29/100)*1,IF(ColorIndex('Student Details'!S30)=4,(Q28/100)*2+(Q29/100)*2,(Q28/100)*3+(Q29/100)*3)))</f>
        <v>#NAME?</v>
      </c>
      <c r="R30" s="108" t="e">
        <f ca="1">IF(ColorIndex('Student Details'!T30)&gt;5,"",IF(ColorIndex('Student Details'!T30)=5,(R28/100)*1+(R29/100)*1,IF(ColorIndex('Student Details'!T30)=4,(R28/100)*2+(R29/100)*2,(R28/100)*3+(R29/100)*3)))</f>
        <v>#NAME?</v>
      </c>
      <c r="S30" s="108" t="e">
        <f ca="1">IF(ColorIndex('Student Details'!U30)&gt;5,"",IF(ColorIndex('Student Details'!U30)=5,(S28/100)*1+(S29/100)*1,IF(ColorIndex('Student Details'!U30)=4,(S28/100)*2+(S29/100)*2,(S28/100)*3+(S29/100)*3)))</f>
        <v>#NAME?</v>
      </c>
      <c r="T30" s="108" t="e">
        <f ca="1">IF(ColorIndex('Student Details'!V30)&gt;5,"",IF(ColorIndex('Student Details'!V30)=5,(T28/100)*1+(T29/100)*1,IF(ColorIndex('Student Details'!V30)=4,(T28/100)*2+(T29/100)*2,(T28/100)*3+(T29/100)*3)))</f>
        <v>#NAME?</v>
      </c>
      <c r="U30" s="108" t="e">
        <f ca="1">IF(ColorIndex('Student Details'!W30)&gt;5,"",IF(ColorIndex('Student Details'!W30)=5,(U28/100)*1+(U29/100)*1,IF(ColorIndex('Student Details'!W30)=4,(U28/100)*2+(U29/100)*2,(U28/100)*3+(U29/100)*3)))</f>
        <v>#NAME?</v>
      </c>
      <c r="V30" s="39" t="e">
        <f ca="1">IFERROR(SUM(J30:U30)/COUNTIF(J30:U30,"&gt;0.0"),NA())</f>
        <v>#N/A</v>
      </c>
      <c r="W30" s="486"/>
      <c r="X30" s="486"/>
      <c r="Y30" s="20"/>
      <c r="Z30" s="20"/>
      <c r="AA30" s="20"/>
    </row>
    <row r="31" spans="1:46" ht="18.75" hidden="1" customHeight="1">
      <c r="A31" s="20"/>
      <c r="B31" s="20"/>
      <c r="C31" s="20"/>
      <c r="D31" s="476"/>
      <c r="E31" s="477"/>
      <c r="F31" s="109"/>
      <c r="G31" s="110"/>
      <c r="H31" s="110"/>
      <c r="I31" s="111"/>
      <c r="J31" s="108" t="e">
        <f ca="1">IF(ColorIndex('Student Details'!L30)&gt;5,0,IF(ColorIndex('Student Details'!L30)=5,1,IF(ColorIndex('Student Details'!L30)=4,2,3)))</f>
        <v>#NAME?</v>
      </c>
      <c r="K31" s="108" t="e">
        <f ca="1">IF(ColorIndex('Student Details'!M30)&gt;5,0,IF(ColorIndex('Student Details'!M30)=5,1,IF(ColorIndex('Student Details'!M30)=4,2,3)))</f>
        <v>#NAME?</v>
      </c>
      <c r="L31" s="108" t="e">
        <f ca="1">IF(ColorIndex('Student Details'!N30)&gt;5,0,IF(ColorIndex('Student Details'!N30)=5,1,IF(ColorIndex('Student Details'!N30)=4,2,3)))</f>
        <v>#NAME?</v>
      </c>
      <c r="M31" s="108" t="e">
        <f ca="1">IF(ColorIndex('Student Details'!O30)&gt;5,0,IF(ColorIndex('Student Details'!O30)=5,1,IF(ColorIndex('Student Details'!O30)=4,2,3)))</f>
        <v>#NAME?</v>
      </c>
      <c r="N31" s="108" t="e">
        <f ca="1">IF(ColorIndex('Student Details'!P30)&gt;5,0,IF(ColorIndex('Student Details'!P30)=5,1,IF(ColorIndex('Student Details'!P30)=4,2,3)))</f>
        <v>#NAME?</v>
      </c>
      <c r="O31" s="108" t="e">
        <f ca="1">IF(ColorIndex('Student Details'!Q30)&gt;5,0,IF(ColorIndex('Student Details'!Q30)=5,1,IF(ColorIndex('Student Details'!Q30)=4,2,3)))</f>
        <v>#NAME?</v>
      </c>
      <c r="P31" s="108" t="e">
        <f ca="1">IF(ColorIndex('Student Details'!R30)&gt;5,0,IF(ColorIndex('Student Details'!R30)=5,1,IF(ColorIndex('Student Details'!R30)=4,2,3)))</f>
        <v>#NAME?</v>
      </c>
      <c r="Q31" s="108" t="e">
        <f ca="1">IF(ColorIndex('Student Details'!S30)&gt;5,0,IF(ColorIndex('Student Details'!S30)=5,1,IF(ColorIndex('Student Details'!S30)=4,2,3)))</f>
        <v>#NAME?</v>
      </c>
      <c r="R31" s="108" t="e">
        <f ca="1">IF(ColorIndex('Student Details'!T30)&gt;5,0,IF(ColorIndex('Student Details'!T30)=5,1,IF(ColorIndex('Student Details'!T30)=4,2,3)))</f>
        <v>#NAME?</v>
      </c>
      <c r="S31" s="108" t="e">
        <f ca="1">IF(ColorIndex('Student Details'!U30)&gt;5,0,IF(ColorIndex('Student Details'!U30)=5,1,IF(ColorIndex('Student Details'!U30)=4,2,3)))</f>
        <v>#NAME?</v>
      </c>
      <c r="T31" s="108" t="e">
        <f ca="1">IF(ColorIndex('Student Details'!V30)&gt;5,0,IF(ColorIndex('Student Details'!V30)=5,1,IF(ColorIndex('Student Details'!V30)=4,2,3)))</f>
        <v>#NAME?</v>
      </c>
      <c r="U31" s="108" t="e">
        <f ca="1">IF(ColorIndex('Student Details'!W30)&gt;5,0,IF(ColorIndex('Student Details'!W30)=5,1,IF(ColorIndex('Student Details'!W30)=4,2,3)))</f>
        <v>#NAME?</v>
      </c>
      <c r="V31" s="39"/>
      <c r="W31" s="104"/>
      <c r="X31" s="104"/>
      <c r="Y31" s="20"/>
      <c r="Z31" s="20"/>
      <c r="AA31" s="20"/>
    </row>
    <row r="32" spans="1:46" ht="18.75" customHeight="1">
      <c r="A32" s="20"/>
      <c r="B32" s="20"/>
      <c r="C32" s="20"/>
      <c r="D32" s="478" t="str">
        <f>'Student List'!$F$20</f>
        <v>C0.5</v>
      </c>
      <c r="E32" s="478"/>
      <c r="F32" s="479" t="s">
        <v>66</v>
      </c>
      <c r="G32" s="479"/>
      <c r="H32" s="38" t="s">
        <v>64</v>
      </c>
      <c r="I32" s="40">
        <f>$C$8</f>
        <v>69.090909090909093</v>
      </c>
      <c r="J32" s="39" t="e">
        <f ca="1">IF(ColorIndex('Student Details'!L$31)=35,"",$I$32*$T$3)</f>
        <v>#NAME?</v>
      </c>
      <c r="K32" s="39" t="e">
        <f ca="1">IF(ColorIndex('Student Details'!M$31)=35,"",$I$32*$T$3)</f>
        <v>#NAME?</v>
      </c>
      <c r="L32" s="39" t="e">
        <f ca="1">IF(ColorIndex('Student Details'!N$31)=35,"",$I$32*$T$3)</f>
        <v>#NAME?</v>
      </c>
      <c r="M32" s="39" t="e">
        <f ca="1">IF(ColorIndex('Student Details'!O$31)=35,"",$I$32*$T$3)</f>
        <v>#NAME?</v>
      </c>
      <c r="N32" s="39" t="e">
        <f ca="1">IF(ColorIndex('Student Details'!P$31)=35,"",$I$32*$T$3)</f>
        <v>#NAME?</v>
      </c>
      <c r="O32" s="39" t="e">
        <f ca="1">IF(ColorIndex('Student Details'!Q$31)=35,"",$I$32*$T$3)</f>
        <v>#NAME?</v>
      </c>
      <c r="P32" s="39" t="e">
        <f ca="1">IF(ColorIndex('Student Details'!R$31)=35,"",$I$32*$T$3)</f>
        <v>#NAME?</v>
      </c>
      <c r="Q32" s="39" t="e">
        <f ca="1">IF(ColorIndex('Student Details'!S$31)=35,"",$I$32*$T$3)</f>
        <v>#NAME?</v>
      </c>
      <c r="R32" s="39" t="e">
        <f ca="1">IF(ColorIndex('Student Details'!T$31)=35,"",$I$32*$T$3)</f>
        <v>#NAME?</v>
      </c>
      <c r="S32" s="39" t="e">
        <f ca="1">IF(ColorIndex('Student Details'!U$31)=35,"",$I$32*$T$3)</f>
        <v>#NAME?</v>
      </c>
      <c r="T32" s="39" t="e">
        <f ca="1">IF(ColorIndex('Student Details'!V$31)=35,"",$I$32*$T$3)</f>
        <v>#NAME?</v>
      </c>
      <c r="U32" s="39" t="e">
        <f ca="1">IF(ColorIndex('Student Details'!W$31)=35,"",$I$32*$T$3)</f>
        <v>#NAME?</v>
      </c>
      <c r="V32" s="39" t="e">
        <f ca="1">IFERROR(SUM(J32:U33)/COUNTIF(J32:U32,"&gt;0.0"),NA())</f>
        <v>#N/A</v>
      </c>
      <c r="W32" s="484" t="e">
        <f ca="1">(SUMIF(J34:U34,"&gt;0.0")/SUMIF(J35:U35,"&gt;0.0"))*100</f>
        <v>#DIV/0!</v>
      </c>
      <c r="X32" s="484" t="e">
        <f ca="1">IF(W32&gt;($Z$3*100),"Yes","No")</f>
        <v>#DIV/0!</v>
      </c>
      <c r="Y32" s="20"/>
      <c r="Z32" s="20"/>
      <c r="AA32" s="20"/>
    </row>
    <row r="33" spans="1:27" ht="18.75" customHeight="1">
      <c r="A33" s="20"/>
      <c r="B33" s="20"/>
      <c r="C33" s="20"/>
      <c r="D33" s="478"/>
      <c r="E33" s="478"/>
      <c r="F33" s="479"/>
      <c r="G33" s="479"/>
      <c r="H33" s="38" t="s">
        <v>67</v>
      </c>
      <c r="I33" s="40">
        <f>$L$3</f>
        <v>96.721311475409834</v>
      </c>
      <c r="J33" s="39" t="e">
        <f ca="1">IF(ColorIndex('Student Details'!L$31)=35,"",$I$33*$T$4)</f>
        <v>#NAME?</v>
      </c>
      <c r="K33" s="39" t="e">
        <f ca="1">IF(ColorIndex('Student Details'!M$31)=35,"",$I$33*$T$4)</f>
        <v>#NAME?</v>
      </c>
      <c r="L33" s="39" t="e">
        <f ca="1">IF(ColorIndex('Student Details'!N$31)=35,"",$I$33*$T$4)</f>
        <v>#NAME?</v>
      </c>
      <c r="M33" s="39" t="e">
        <f ca="1">IF(ColorIndex('Student Details'!O$31)=35,"",$I$33*$T$4)</f>
        <v>#NAME?</v>
      </c>
      <c r="N33" s="39" t="e">
        <f ca="1">IF(ColorIndex('Student Details'!P$31)=35,"",$I$33*$T$4)</f>
        <v>#NAME?</v>
      </c>
      <c r="O33" s="39" t="e">
        <f ca="1">IF(ColorIndex('Student Details'!Q$31)=35,"",$I$33*$T$4)</f>
        <v>#NAME?</v>
      </c>
      <c r="P33" s="39" t="e">
        <f ca="1">IF(ColorIndex('Student Details'!R$31)=35,"",$I$33*$T$4)</f>
        <v>#NAME?</v>
      </c>
      <c r="Q33" s="39" t="e">
        <f ca="1">IF(ColorIndex('Student Details'!S$31)=35,"",$I$33*$T$4)</f>
        <v>#NAME?</v>
      </c>
      <c r="R33" s="39" t="e">
        <f ca="1">IF(ColorIndex('Student Details'!T$31)=35,"",$I$33*$T$4)</f>
        <v>#NAME?</v>
      </c>
      <c r="S33" s="39" t="e">
        <f ca="1">IF(ColorIndex('Student Details'!U$31)=35,"",$I$33*$T$4)</f>
        <v>#NAME?</v>
      </c>
      <c r="T33" s="39" t="e">
        <f ca="1">IF(ColorIndex('Student Details'!V$31)=35,"",$I$33*$T$4)</f>
        <v>#NAME?</v>
      </c>
      <c r="U33" s="39" t="e">
        <f ca="1">IF(ColorIndex('Student Details'!W$31)=35,"",$I$33*$T$4)</f>
        <v>#NAME?</v>
      </c>
      <c r="V33" s="39" t="e">
        <f>NA()</f>
        <v>#N/A</v>
      </c>
      <c r="W33" s="485"/>
      <c r="X33" s="485"/>
      <c r="Y33" s="20"/>
      <c r="Z33" s="20"/>
      <c r="AA33" s="20"/>
    </row>
    <row r="34" spans="1:27" ht="18.75" customHeight="1">
      <c r="A34" s="20"/>
      <c r="B34" s="20"/>
      <c r="C34" s="20"/>
      <c r="D34" s="478"/>
      <c r="E34" s="478"/>
      <c r="F34" s="481" t="str">
        <f>D32 &amp; "     Attainment"</f>
        <v>C0.5     Attainment</v>
      </c>
      <c r="G34" s="482"/>
      <c r="H34" s="482"/>
      <c r="I34" s="483"/>
      <c r="J34" s="108" t="e">
        <f ca="1">IF(ColorIndex('Student Details'!L31)&gt;5,"",IF(ColorIndex('Student Details'!L31)=5,(J32/100)*1+(J33/100)*1,IF(ColorIndex('Student Details'!L31)=4,(J32/100)*2+(J33/100)*2,(J32/100)*3+(J33/100)*3)))</f>
        <v>#NAME?</v>
      </c>
      <c r="K34" s="108" t="e">
        <f ca="1">IF(ColorIndex('Student Details'!M31)&gt;5,"",IF(ColorIndex('Student Details'!M31)=5,(K32/100)*1+(K33/100)*1,IF(ColorIndex('Student Details'!M31)=4,(K32/100)*2+(K33/100)*2,(K32/100)*3+(K33/100)*3)))</f>
        <v>#NAME?</v>
      </c>
      <c r="L34" s="108" t="e">
        <f ca="1">IF(ColorIndex('Student Details'!N31)&gt;5,"",IF(ColorIndex('Student Details'!N31)=5,(L32/100)*1+(L33/100)*1,IF(ColorIndex('Student Details'!N31)=4,(L32/100)*2+(L33/100)*2,(L32/100)*3+(L33/100)*3)))</f>
        <v>#NAME?</v>
      </c>
      <c r="M34" s="108" t="e">
        <f ca="1">IF(ColorIndex('Student Details'!O31)&gt;5,"",IF(ColorIndex('Student Details'!O31)=5,(M32/100)*1+(M33/100)*1,IF(ColorIndex('Student Details'!O31)=4,(M32/100)*2+(M33/100)*2,(M32/100)*3+(M33/100)*3)))</f>
        <v>#NAME?</v>
      </c>
      <c r="N34" s="108" t="e">
        <f ca="1">IF(ColorIndex('Student Details'!P31)&gt;5,"",IF(ColorIndex('Student Details'!P31)=5,(N32/100)*1+(N33/100)*1,IF(ColorIndex('Student Details'!P31)=4,(N32/100)*2+(N33/100)*2,(N32/100)*3+(N33/100)*3)))</f>
        <v>#NAME?</v>
      </c>
      <c r="O34" s="108" t="e">
        <f ca="1">IF(ColorIndex('Student Details'!Q31)&gt;5,"",IF(ColorIndex('Student Details'!Q31)=5,(O32/100)*1+(O33/100)*1,IF(ColorIndex('Student Details'!Q31)=4,(O32/100)*2+(O33/100)*2,(O32/100)*3+(O33/100)*3)))</f>
        <v>#NAME?</v>
      </c>
      <c r="P34" s="108" t="e">
        <f ca="1">IF(ColorIndex('Student Details'!R31)&gt;5,"",IF(ColorIndex('Student Details'!R31)=5,(P32/100)*1+(P33/100)*1,IF(ColorIndex('Student Details'!R31)=4,(P32/100)*2+(P33/100)*2,(P32/100)*3+(P33/100)*3)))</f>
        <v>#NAME?</v>
      </c>
      <c r="Q34" s="108" t="e">
        <f ca="1">IF(ColorIndex('Student Details'!S31)&gt;5,"",IF(ColorIndex('Student Details'!S31)=5,(Q32/100)*1+(Q33/100)*1,IF(ColorIndex('Student Details'!S31)=4,(Q32/100)*2+(Q33/100)*2,(Q32/100)*3+(Q33/100)*3)))</f>
        <v>#NAME?</v>
      </c>
      <c r="R34" s="108" t="e">
        <f ca="1">IF(ColorIndex('Student Details'!T31)&gt;5,"",IF(ColorIndex('Student Details'!T31)=5,(R32/100)*1+(R33/100)*1,IF(ColorIndex('Student Details'!T31)=4,(R32/100)*2+(R33/100)*2,(R32/100)*3+(R33/100)*3)))</f>
        <v>#NAME?</v>
      </c>
      <c r="S34" s="108" t="e">
        <f ca="1">IF(ColorIndex('Student Details'!U31)&gt;5,"",IF(ColorIndex('Student Details'!U31)=5,(S32/100)*1+(S33/100)*1,IF(ColorIndex('Student Details'!U31)=4,(S32/100)*2+(S33/100)*2,(S32/100)*3+(S33/100)*3)))</f>
        <v>#NAME?</v>
      </c>
      <c r="T34" s="108" t="e">
        <f ca="1">IF(ColorIndex('Student Details'!V31)&gt;5,"",IF(ColorIndex('Student Details'!V31)=5,(T32/100)*1+(T33/100)*1,IF(ColorIndex('Student Details'!V31)=4,(T32/100)*2+(T33/100)*2,(T32/100)*3+(T33/100)*3)))</f>
        <v>#NAME?</v>
      </c>
      <c r="U34" s="108" t="e">
        <f ca="1">IF(ColorIndex('Student Details'!W31)&gt;5,"",IF(ColorIndex('Student Details'!W31)=5,(U32/100)*1+(U33/100)*1,IF(ColorIndex('Student Details'!W31)=4,(U32/100)*2+(U33/100)*2,(U32/100)*3+(U33/100)*3)))</f>
        <v>#NAME?</v>
      </c>
      <c r="V34" s="39" t="e">
        <f ca="1">IFERROR(SUM(J34:U34)/COUNTIF(J34:U34,"&gt;0.0"),NA())</f>
        <v>#N/A</v>
      </c>
      <c r="W34" s="486"/>
      <c r="X34" s="486"/>
      <c r="Y34" s="20"/>
      <c r="Z34" s="20"/>
      <c r="AA34" s="20"/>
    </row>
    <row r="35" spans="1:27" ht="18.75" hidden="1" customHeight="1">
      <c r="A35" s="20"/>
      <c r="B35" s="20"/>
      <c r="C35" s="20"/>
      <c r="D35" s="192"/>
      <c r="E35" s="192"/>
      <c r="F35" s="109"/>
      <c r="G35" s="110"/>
      <c r="H35" s="110"/>
      <c r="I35" s="111"/>
      <c r="J35" s="108" t="e">
        <f ca="1">IF(ColorIndex('Student Details'!L31)&gt;5,0,IF(ColorIndex('Student Details'!L31)=5,1,IF(ColorIndex('Student Details'!L31)=4,2,3)))</f>
        <v>#NAME?</v>
      </c>
      <c r="K35" s="108" t="e">
        <f ca="1">IF(ColorIndex('Student Details'!M31)&gt;5,0,IF(ColorIndex('Student Details'!M31)=5,1,IF(ColorIndex('Student Details'!M31)=4,2,3)))</f>
        <v>#NAME?</v>
      </c>
      <c r="L35" s="108" t="e">
        <f ca="1">IF(ColorIndex('Student Details'!N31)&gt;5,0,IF(ColorIndex('Student Details'!N31)=5,1,IF(ColorIndex('Student Details'!N31)=4,2,3)))</f>
        <v>#NAME?</v>
      </c>
      <c r="M35" s="108" t="e">
        <f ca="1">IF(ColorIndex('Student Details'!O31)&gt;5,0,IF(ColorIndex('Student Details'!O31)=5,1,IF(ColorIndex('Student Details'!O31)=4,2,3)))</f>
        <v>#NAME?</v>
      </c>
      <c r="N35" s="108" t="e">
        <f ca="1">IF(ColorIndex('Student Details'!P31)&gt;5,0,IF(ColorIndex('Student Details'!P31)=5,1,IF(ColorIndex('Student Details'!P31)=4,2,3)))</f>
        <v>#NAME?</v>
      </c>
      <c r="O35" s="108" t="e">
        <f ca="1">IF(ColorIndex('Student Details'!Q31)&gt;5,0,IF(ColorIndex('Student Details'!Q31)=5,1,IF(ColorIndex('Student Details'!Q31)=4,2,3)))</f>
        <v>#NAME?</v>
      </c>
      <c r="P35" s="108" t="e">
        <f ca="1">IF(ColorIndex('Student Details'!R31)&gt;5,0,IF(ColorIndex('Student Details'!R31)=5,1,IF(ColorIndex('Student Details'!R31)=4,2,3)))</f>
        <v>#NAME?</v>
      </c>
      <c r="Q35" s="108" t="e">
        <f ca="1">IF(ColorIndex('Student Details'!S31)&gt;5,0,IF(ColorIndex('Student Details'!S31)=5,1,IF(ColorIndex('Student Details'!S31)=4,2,3)))</f>
        <v>#NAME?</v>
      </c>
      <c r="R35" s="108" t="e">
        <f ca="1">IF(ColorIndex('Student Details'!T31)&gt;5,0,IF(ColorIndex('Student Details'!T31)=5,1,IF(ColorIndex('Student Details'!T31)=4,2,3)))</f>
        <v>#NAME?</v>
      </c>
      <c r="S35" s="108" t="e">
        <f ca="1">IF(ColorIndex('Student Details'!U31)&gt;5,0,IF(ColorIndex('Student Details'!U31)=5,1,IF(ColorIndex('Student Details'!U31)=4,2,3)))</f>
        <v>#NAME?</v>
      </c>
      <c r="T35" s="108" t="e">
        <f ca="1">IF(ColorIndex('Student Details'!V31)&gt;5,0,IF(ColorIndex('Student Details'!V31)=5,1,IF(ColorIndex('Student Details'!V31)=4,2,3)))</f>
        <v>#NAME?</v>
      </c>
      <c r="U35" s="108" t="e">
        <f ca="1">IF(ColorIndex('Student Details'!W31)&gt;5,0,IF(ColorIndex('Student Details'!W31)=5,1,IF(ColorIndex('Student Details'!W31)=4,2,3)))</f>
        <v>#NAME?</v>
      </c>
      <c r="V35" s="39"/>
      <c r="W35" s="104"/>
      <c r="X35" s="104"/>
      <c r="Y35" s="20"/>
      <c r="Z35" s="20"/>
      <c r="AA35" s="20"/>
    </row>
    <row r="36" spans="1:27" ht="18.75" hidden="1" customHeight="1">
      <c r="A36" s="20"/>
      <c r="B36" s="20"/>
      <c r="C36" s="20"/>
      <c r="D36" s="478" t="str">
        <f>'Student List'!$F$22</f>
        <v>C0.6</v>
      </c>
      <c r="E36" s="478"/>
      <c r="F36" s="479" t="s">
        <v>66</v>
      </c>
      <c r="G36" s="479"/>
      <c r="H36" s="38" t="s">
        <v>64</v>
      </c>
      <c r="I36" s="40">
        <f>$C$9</f>
        <v>0</v>
      </c>
      <c r="J36" s="39" t="e">
        <f ca="1">IF(ColorIndex('Student Details'!L$32)=35,"",$I$36*$T$3)</f>
        <v>#NAME?</v>
      </c>
      <c r="K36" s="39" t="e">
        <f ca="1">IF(ColorIndex('Student Details'!M$32)=35,"",$I$36*$T$3)</f>
        <v>#NAME?</v>
      </c>
      <c r="L36" s="39" t="e">
        <f ca="1">IF(ColorIndex('Student Details'!N$32)=35,"",$I$36*$T$3)</f>
        <v>#NAME?</v>
      </c>
      <c r="M36" s="39" t="e">
        <f ca="1">IF(ColorIndex('Student Details'!O$32)=35,"",$I$36*$T$3)</f>
        <v>#NAME?</v>
      </c>
      <c r="N36" s="39" t="e">
        <f ca="1">IF(ColorIndex('Student Details'!P$32)=35,"",$I$36*$T$3)</f>
        <v>#NAME?</v>
      </c>
      <c r="O36" s="39" t="e">
        <f ca="1">IF(ColorIndex('Student Details'!Q$32)=35,"",$I$36*$T$3)</f>
        <v>#NAME?</v>
      </c>
      <c r="P36" s="39" t="e">
        <f ca="1">IF(ColorIndex('Student Details'!R$32)=35,"",$I$36*$T$3)</f>
        <v>#NAME?</v>
      </c>
      <c r="Q36" s="39" t="e">
        <f ca="1">IF(ColorIndex('Student Details'!S$32)=35,"",$I$36*$T$3)</f>
        <v>#NAME?</v>
      </c>
      <c r="R36" s="39" t="e">
        <f ca="1">IF(ColorIndex('Student Details'!T$32)=35,"",$I$36*$T$3)</f>
        <v>#NAME?</v>
      </c>
      <c r="S36" s="39" t="e">
        <f ca="1">IF(ColorIndex('Student Details'!U$32)=35,"",$I$36*$T$3)</f>
        <v>#NAME?</v>
      </c>
      <c r="T36" s="39" t="e">
        <f ca="1">IF(ColorIndex('Student Details'!V$32)=35,"",$I$36*$T$3)</f>
        <v>#NAME?</v>
      </c>
      <c r="U36" s="39" t="e">
        <f ca="1">IF(ColorIndex('Student Details'!W$32)=35,"",$I$36*$T$3)</f>
        <v>#NAME?</v>
      </c>
      <c r="V36" s="39" t="e">
        <f ca="1">IFERROR(SUM(J36:U37)/COUNTIF(J36:U36,"&gt;0.0"),NA())</f>
        <v>#N/A</v>
      </c>
      <c r="W36" s="484" t="e">
        <f ca="1">(SUMIF(J38:U38,"&gt;0.0")/SUMIF(J39:U39,"&gt;0.0"))*100</f>
        <v>#DIV/0!</v>
      </c>
      <c r="X36" s="484" t="e">
        <f ca="1">IF(W36&gt;($Z$3*100),"Yes","No")</f>
        <v>#DIV/0!</v>
      </c>
      <c r="Y36" s="20"/>
      <c r="Z36" s="20"/>
      <c r="AA36" s="20"/>
    </row>
    <row r="37" spans="1:27" ht="18.75" hidden="1" customHeight="1">
      <c r="A37" s="20"/>
      <c r="B37" s="20"/>
      <c r="C37" s="20"/>
      <c r="D37" s="478"/>
      <c r="E37" s="478"/>
      <c r="F37" s="479"/>
      <c r="G37" s="479"/>
      <c r="H37" s="38" t="s">
        <v>67</v>
      </c>
      <c r="I37" s="40">
        <f>$L$3</f>
        <v>96.721311475409834</v>
      </c>
      <c r="J37" s="39" t="e">
        <f ca="1">IF(ColorIndex('Student Details'!L$32)=35,"",$I$37*$T$4)</f>
        <v>#NAME?</v>
      </c>
      <c r="K37" s="39" t="e">
        <f ca="1">IF(ColorIndex('Student Details'!M$32)=35,"",$I$37*$T$4)</f>
        <v>#NAME?</v>
      </c>
      <c r="L37" s="39" t="e">
        <f ca="1">IF(ColorIndex('Student Details'!N$32)=35,"",$I$37*$T$4)</f>
        <v>#NAME?</v>
      </c>
      <c r="M37" s="39" t="e">
        <f ca="1">IF(ColorIndex('Student Details'!O$32)=35,"",$I$37*$T$4)</f>
        <v>#NAME?</v>
      </c>
      <c r="N37" s="39" t="e">
        <f ca="1">IF(ColorIndex('Student Details'!P$32)=35,"",$I$37*$T$4)</f>
        <v>#NAME?</v>
      </c>
      <c r="O37" s="39" t="e">
        <f ca="1">IF(ColorIndex('Student Details'!Q$32)=35,"",$I$37*$T$4)</f>
        <v>#NAME?</v>
      </c>
      <c r="P37" s="39" t="e">
        <f ca="1">IF(ColorIndex('Student Details'!R$32)=35,"",$I$37*$T$4)</f>
        <v>#NAME?</v>
      </c>
      <c r="Q37" s="39" t="e">
        <f ca="1">IF(ColorIndex('Student Details'!S$32)=35,"",$I$37*$T$4)</f>
        <v>#NAME?</v>
      </c>
      <c r="R37" s="39" t="e">
        <f ca="1">IF(ColorIndex('Student Details'!T$32)=35,"",$I$37*$T$4)</f>
        <v>#NAME?</v>
      </c>
      <c r="S37" s="39" t="e">
        <f ca="1">IF(ColorIndex('Student Details'!U$32)=35,"",$I$37*$T$4)</f>
        <v>#NAME?</v>
      </c>
      <c r="T37" s="39" t="e">
        <f ca="1">IF(ColorIndex('Student Details'!V$32)=35,"",$I$37*$T$4)</f>
        <v>#NAME?</v>
      </c>
      <c r="U37" s="39" t="e">
        <f ca="1">IF(ColorIndex('Student Details'!W$32)=35,"",$I$37*$T$4)</f>
        <v>#NAME?</v>
      </c>
      <c r="V37" s="39" t="e">
        <f>NA()</f>
        <v>#N/A</v>
      </c>
      <c r="W37" s="485"/>
      <c r="X37" s="485"/>
      <c r="Y37" s="20"/>
      <c r="Z37" s="20"/>
      <c r="AA37" s="20"/>
    </row>
    <row r="38" spans="1:27" ht="18.75" hidden="1" customHeight="1">
      <c r="A38" s="20"/>
      <c r="B38" s="20"/>
      <c r="C38" s="20"/>
      <c r="D38" s="478"/>
      <c r="E38" s="478"/>
      <c r="F38" s="481" t="str">
        <f>D36 &amp; "     Attainment"</f>
        <v>C0.6     Attainment</v>
      </c>
      <c r="G38" s="482"/>
      <c r="H38" s="482"/>
      <c r="I38" s="483"/>
      <c r="J38" s="108" t="e">
        <f ca="1">IF(ColorIndex('Student Details'!L32)&gt;5,"",IF(ColorIndex('Student Details'!L32)=5,(J36/100)*1+(J37/100)*1,IF(ColorIndex('Student Details'!L32)=4,(J36/100)*2+(J37/100)*2,(J36/100)*3+(J37/100)*3)))</f>
        <v>#NAME?</v>
      </c>
      <c r="K38" s="108" t="e">
        <f ca="1">IF(ColorIndex('Student Details'!M32)&gt;5,"",IF(ColorIndex('Student Details'!M32)=5,(K36/100)*1+(K37/100)*1,IF(ColorIndex('Student Details'!M32)=4,(K36/100)*2+(K37/100)*2,(K36/100)*3+(K37/100)*3)))</f>
        <v>#NAME?</v>
      </c>
      <c r="L38" s="108" t="e">
        <f ca="1">IF(ColorIndex('Student Details'!N32)&gt;5,"",IF(ColorIndex('Student Details'!N32)=5,(L36/100)*1+(L37/100)*1,IF(ColorIndex('Student Details'!N32)=4,(L36/100)*2+(L37/100)*2,(L36/100)*3+(L37/100)*3)))</f>
        <v>#NAME?</v>
      </c>
      <c r="M38" s="108" t="e">
        <f ca="1">IF(ColorIndex('Student Details'!O32)&gt;5,"",IF(ColorIndex('Student Details'!O32)=5,(M36/100)*1+(M37/100)*1,IF(ColorIndex('Student Details'!O32)=4,(M36/100)*2+(M37/100)*2,(M36/100)*3+(M37/100)*3)))</f>
        <v>#NAME?</v>
      </c>
      <c r="N38" s="108" t="e">
        <f ca="1">IF(ColorIndex('Student Details'!P32)&gt;5,"",IF(ColorIndex('Student Details'!P32)=5,(N36/100)*1+(N37/100)*1,IF(ColorIndex('Student Details'!P32)=4,(N36/100)*2+(N37/100)*2,(N36/100)*3+(N37/100)*3)))</f>
        <v>#NAME?</v>
      </c>
      <c r="O38" s="108" t="e">
        <f ca="1">IF(ColorIndex('Student Details'!Q32)&gt;5,"",IF(ColorIndex('Student Details'!Q32)=5,(O36/100)*1+(O37/100)*1,IF(ColorIndex('Student Details'!Q32)=4,(O36/100)*2+(O37/100)*2,(O36/100)*3+(O37/100)*3)))</f>
        <v>#NAME?</v>
      </c>
      <c r="P38" s="108" t="e">
        <f ca="1">IF(ColorIndex('Student Details'!R32)&gt;5,"",IF(ColorIndex('Student Details'!R32)=5,(P36/100)*1+(P37/100)*1,IF(ColorIndex('Student Details'!R32)=4,(P36/100)*2+(P37/100)*2,(P36/100)*3+(P37/100)*3)))</f>
        <v>#NAME?</v>
      </c>
      <c r="Q38" s="108" t="e">
        <f ca="1">IF(ColorIndex('Student Details'!S32)&gt;5,"",IF(ColorIndex('Student Details'!S32)=5,(Q36/100)*1+(Q37/100)*1,IF(ColorIndex('Student Details'!S32)=4,(Q36/100)*2+(Q37/100)*2,(Q36/100)*3+(Q37/100)*3)))</f>
        <v>#NAME?</v>
      </c>
      <c r="R38" s="108" t="e">
        <f ca="1">IF(ColorIndex('Student Details'!T32)&gt;5,"",IF(ColorIndex('Student Details'!T32)=5,(R36/100)*1+(R37/100)*1,IF(ColorIndex('Student Details'!T32)=4,(R36/100)*2+(R37/100)*2,(R36/100)*3+(R37/100)*3)))</f>
        <v>#NAME?</v>
      </c>
      <c r="S38" s="108" t="e">
        <f ca="1">IF(ColorIndex('Student Details'!U32)&gt;5,"",IF(ColorIndex('Student Details'!U32)=5,(S36/100)*1+(S37/100)*1,IF(ColorIndex('Student Details'!U32)=4,(S36/100)*2+(S37/100)*2,(S36/100)*3+(S37/100)*3)))</f>
        <v>#NAME?</v>
      </c>
      <c r="T38" s="108" t="e">
        <f ca="1">IF(ColorIndex('Student Details'!V32)&gt;5,"",IF(ColorIndex('Student Details'!V32)=5,(T36/100)*1+(T37/100)*1,IF(ColorIndex('Student Details'!V32)=4,(T36/100)*2+(T37/100)*2,(T36/100)*3+(T37/100)*3)))</f>
        <v>#NAME?</v>
      </c>
      <c r="U38" s="108" t="e">
        <f ca="1">IF(ColorIndex('Student Details'!W32)&gt;5,"",IF(ColorIndex('Student Details'!W32)=5,(U36/100)*1+(U37/100)*1,IF(ColorIndex('Student Details'!W32)=4,(U36/100)*2+(U37/100)*2,(U36/100)*3+(U37/100)*3)))</f>
        <v>#NAME?</v>
      </c>
      <c r="V38" s="39" t="e">
        <f ca="1">IFERROR(SUM(J38:U38)/COUNTIF(J38:U38,"&gt;0.0"),NA())</f>
        <v>#N/A</v>
      </c>
      <c r="W38" s="486"/>
      <c r="X38" s="486"/>
      <c r="Y38" s="20"/>
      <c r="Z38" s="20"/>
      <c r="AA38" s="20"/>
    </row>
    <row r="39" spans="1:27" ht="18.75" hidden="1" customHeight="1">
      <c r="A39" s="20"/>
      <c r="B39" s="20"/>
      <c r="C39" s="20"/>
      <c r="D39" s="192"/>
      <c r="E39" s="192"/>
      <c r="F39" s="109"/>
      <c r="G39" s="110"/>
      <c r="H39" s="110"/>
      <c r="I39" s="111"/>
      <c r="J39" s="108" t="e">
        <f ca="1">IF(ColorIndex('Student Details'!L32)&gt;5,0,IF(ColorIndex('Student Details'!L32)=5,1,IF(ColorIndex('Student Details'!L32)=4,2,3)))</f>
        <v>#NAME?</v>
      </c>
      <c r="K39" s="108" t="e">
        <f ca="1">IF(ColorIndex('Student Details'!M32)&gt;5,0,IF(ColorIndex('Student Details'!M32)=5,1,IF(ColorIndex('Student Details'!M32)=4,2,3)))</f>
        <v>#NAME?</v>
      </c>
      <c r="L39" s="108" t="e">
        <f ca="1">IF(ColorIndex('Student Details'!N32)&gt;5,0,IF(ColorIndex('Student Details'!N32)=5,1,IF(ColorIndex('Student Details'!N32)=4,2,3)))</f>
        <v>#NAME?</v>
      </c>
      <c r="M39" s="108" t="e">
        <f ca="1">IF(ColorIndex('Student Details'!O32)&gt;5,0,IF(ColorIndex('Student Details'!O32)=5,1,IF(ColorIndex('Student Details'!O32)=4,2,3)))</f>
        <v>#NAME?</v>
      </c>
      <c r="N39" s="108" t="e">
        <f ca="1">IF(ColorIndex('Student Details'!P32)&gt;5,0,IF(ColorIndex('Student Details'!P32)=5,1,IF(ColorIndex('Student Details'!P32)=4,2,3)))</f>
        <v>#NAME?</v>
      </c>
      <c r="O39" s="108" t="e">
        <f ca="1">IF(ColorIndex('Student Details'!Q32)&gt;5,0,IF(ColorIndex('Student Details'!Q32)=5,1,IF(ColorIndex('Student Details'!Q32)=4,2,3)))</f>
        <v>#NAME?</v>
      </c>
      <c r="P39" s="108" t="e">
        <f ca="1">IF(ColorIndex('Student Details'!R32)&gt;5,0,IF(ColorIndex('Student Details'!R32)=5,1,IF(ColorIndex('Student Details'!R32)=4,2,3)))</f>
        <v>#NAME?</v>
      </c>
      <c r="Q39" s="108" t="e">
        <f ca="1">IF(ColorIndex('Student Details'!S32)&gt;5,0,IF(ColorIndex('Student Details'!S32)=5,1,IF(ColorIndex('Student Details'!S32)=4,2,3)))</f>
        <v>#NAME?</v>
      </c>
      <c r="R39" s="108" t="e">
        <f ca="1">IF(ColorIndex('Student Details'!T32)&gt;5,0,IF(ColorIndex('Student Details'!T32)=5,1,IF(ColorIndex('Student Details'!T32)=4,2,3)))</f>
        <v>#NAME?</v>
      </c>
      <c r="S39" s="108" t="e">
        <f ca="1">IF(ColorIndex('Student Details'!U32)&gt;5,0,IF(ColorIndex('Student Details'!U32)=5,1,IF(ColorIndex('Student Details'!U32)=4,2,3)))</f>
        <v>#NAME?</v>
      </c>
      <c r="T39" s="108" t="e">
        <f ca="1">IF(ColorIndex('Student Details'!V32)&gt;5,0,IF(ColorIndex('Student Details'!V32)=5,1,IF(ColorIndex('Student Details'!V32)=4,2,3)))</f>
        <v>#NAME?</v>
      </c>
      <c r="U39" s="108" t="e">
        <f ca="1">IF(ColorIndex('Student Details'!W32)&gt;5,0,IF(ColorIndex('Student Details'!W32)=5,1,IF(ColorIndex('Student Details'!W32)=4,2,3)))</f>
        <v>#NAME?</v>
      </c>
      <c r="V39" s="39"/>
      <c r="W39" s="104"/>
      <c r="X39" s="104"/>
      <c r="Y39" s="20"/>
      <c r="Z39" s="20"/>
      <c r="AA39" s="20"/>
    </row>
    <row r="40" spans="1:27" ht="18.75" hidden="1" customHeight="1">
      <c r="A40" s="20"/>
      <c r="B40" s="20"/>
      <c r="C40" s="20"/>
      <c r="D40" s="478" t="str">
        <f>'Student List'!$F$24</f>
        <v>C0.7</v>
      </c>
      <c r="E40" s="478"/>
      <c r="F40" s="479" t="s">
        <v>66</v>
      </c>
      <c r="G40" s="479"/>
      <c r="H40" s="38" t="s">
        <v>64</v>
      </c>
      <c r="I40" s="40">
        <f>$C$10</f>
        <v>0</v>
      </c>
      <c r="J40" s="39" t="e">
        <f ca="1">IF(ColorIndex('Student Details'!L$33)=35,"",$I$40*$T$3)</f>
        <v>#NAME?</v>
      </c>
      <c r="K40" s="39" t="e">
        <f ca="1">IF(ColorIndex('Student Details'!M$33)=35,"",$I$40*$T$3)</f>
        <v>#NAME?</v>
      </c>
      <c r="L40" s="39" t="e">
        <f ca="1">IF(ColorIndex('Student Details'!N$33)=35,"",$I$40*$T$3)</f>
        <v>#NAME?</v>
      </c>
      <c r="M40" s="39" t="e">
        <f ca="1">IF(ColorIndex('Student Details'!O$33)=35,"",$I$40*$T$3)</f>
        <v>#NAME?</v>
      </c>
      <c r="N40" s="39" t="e">
        <f ca="1">IF(ColorIndex('Student Details'!P$33)=35,"",$I$40*$T$3)</f>
        <v>#NAME?</v>
      </c>
      <c r="O40" s="39" t="e">
        <f ca="1">IF(ColorIndex('Student Details'!Q$33)=35,"",$I$40*$T$3)</f>
        <v>#NAME?</v>
      </c>
      <c r="P40" s="39" t="e">
        <f ca="1">IF(ColorIndex('Student Details'!R$33)=35,"",$I$40*$T$3)</f>
        <v>#NAME?</v>
      </c>
      <c r="Q40" s="39" t="e">
        <f ca="1">IF(ColorIndex('Student Details'!S$33)=35,"",$I$40*$T$3)</f>
        <v>#NAME?</v>
      </c>
      <c r="R40" s="39" t="e">
        <f ca="1">IF(ColorIndex('Student Details'!T$33)=35,"",$I$40*$T$3)</f>
        <v>#NAME?</v>
      </c>
      <c r="S40" s="39" t="e">
        <f ca="1">IF(ColorIndex('Student Details'!U$33)=35,"",$I$40*$T$3)</f>
        <v>#NAME?</v>
      </c>
      <c r="T40" s="39" t="e">
        <f ca="1">IF(ColorIndex('Student Details'!V$33)=35,"",$I$40*$T$3)</f>
        <v>#NAME?</v>
      </c>
      <c r="U40" s="39" t="e">
        <f ca="1">IF(ColorIndex('Student Details'!W$33)=35,"",$I$40*$T$3)</f>
        <v>#NAME?</v>
      </c>
      <c r="V40" s="39" t="e">
        <f ca="1">IFERROR(SUM(J40:U41)/COUNTIF(J40:U40,"&gt;0.0"),NA())</f>
        <v>#N/A</v>
      </c>
      <c r="W40" s="484" t="e">
        <f ca="1">(SUMIF(J42:U42,"&gt;0.0")/SUMIF(J43:U43,"&gt;0.0"))*100</f>
        <v>#DIV/0!</v>
      </c>
      <c r="X40" s="484" t="e">
        <f ca="1">IF(W40&gt;($Z$3*100),"Yes","No")</f>
        <v>#DIV/0!</v>
      </c>
      <c r="Y40" s="20"/>
      <c r="Z40" s="20"/>
      <c r="AA40" s="20"/>
    </row>
    <row r="41" spans="1:27" ht="18.75" hidden="1" customHeight="1">
      <c r="A41" s="20"/>
      <c r="B41" s="20"/>
      <c r="C41" s="20"/>
      <c r="D41" s="478"/>
      <c r="E41" s="478"/>
      <c r="F41" s="479"/>
      <c r="G41" s="479"/>
      <c r="H41" s="38" t="s">
        <v>67</v>
      </c>
      <c r="I41" s="40">
        <f>$L$3</f>
        <v>96.721311475409834</v>
      </c>
      <c r="J41" s="39" t="e">
        <f ca="1">IF(ColorIndex('Student Details'!L$33)=35,"",$I$41*$T$4)</f>
        <v>#NAME?</v>
      </c>
      <c r="K41" s="39" t="e">
        <f ca="1">IF(ColorIndex('Student Details'!M$33)=35,"",$I$41*$T$4)</f>
        <v>#NAME?</v>
      </c>
      <c r="L41" s="39" t="e">
        <f ca="1">IF(ColorIndex('Student Details'!N$33)=35,"",$I$41*$T$4)</f>
        <v>#NAME?</v>
      </c>
      <c r="M41" s="39" t="e">
        <f ca="1">IF(ColorIndex('Student Details'!O$33)=35,"",$I$41*$T$4)</f>
        <v>#NAME?</v>
      </c>
      <c r="N41" s="39" t="e">
        <f ca="1">IF(ColorIndex('Student Details'!P$33)=35,"",$I$41*$T$4)</f>
        <v>#NAME?</v>
      </c>
      <c r="O41" s="39" t="e">
        <f ca="1">IF(ColorIndex('Student Details'!Q$33)=35,"",$I$41*$T$4)</f>
        <v>#NAME?</v>
      </c>
      <c r="P41" s="39" t="e">
        <f ca="1">IF(ColorIndex('Student Details'!R$33)=35,"",$I$41*$T$4)</f>
        <v>#NAME?</v>
      </c>
      <c r="Q41" s="39" t="e">
        <f ca="1">IF(ColorIndex('Student Details'!S$33)=35,"",$I$41*$T$4)</f>
        <v>#NAME?</v>
      </c>
      <c r="R41" s="39" t="e">
        <f ca="1">IF(ColorIndex('Student Details'!T$33)=35,"",$I$41*$T$4)</f>
        <v>#NAME?</v>
      </c>
      <c r="S41" s="39" t="e">
        <f ca="1">IF(ColorIndex('Student Details'!U$33)=35,"",$I$41*$T$4)</f>
        <v>#NAME?</v>
      </c>
      <c r="T41" s="39" t="e">
        <f ca="1">IF(ColorIndex('Student Details'!V$33)=35,"",$I$41*$T$4)</f>
        <v>#NAME?</v>
      </c>
      <c r="U41" s="39" t="e">
        <f ca="1">IF(ColorIndex('Student Details'!W$33)=35,"",$I$41*$T$4)</f>
        <v>#NAME?</v>
      </c>
      <c r="V41" s="39" t="e">
        <f>NA()</f>
        <v>#N/A</v>
      </c>
      <c r="W41" s="485"/>
      <c r="X41" s="485"/>
      <c r="Y41" s="20"/>
      <c r="Z41" s="20"/>
      <c r="AA41" s="20"/>
    </row>
    <row r="42" spans="1:27" ht="18.75" hidden="1" customHeight="1">
      <c r="A42" s="20"/>
      <c r="B42" s="20"/>
      <c r="C42" s="20"/>
      <c r="D42" s="478"/>
      <c r="E42" s="478"/>
      <c r="F42" s="481" t="str">
        <f>D40 &amp; "     Attainment"</f>
        <v>C0.7     Attainment</v>
      </c>
      <c r="G42" s="482"/>
      <c r="H42" s="482"/>
      <c r="I42" s="483"/>
      <c r="J42" s="108" t="e">
        <f ca="1">IF(ColorIndex('Student Details'!L33)&gt;5,"",IF(ColorIndex('Student Details'!L33)=5,(J40/100)*1+(J41/100)*1,IF(ColorIndex('Student Details'!L33)=4,(J40/100)*2+(J41/100)*2,(J40/100)*3+(J41/100)*3)))</f>
        <v>#NAME?</v>
      </c>
      <c r="K42" s="108" t="e">
        <f ca="1">IF(ColorIndex('Student Details'!M33)&gt;5,"",IF(ColorIndex('Student Details'!M33)=5,(K40/100)*1+(K41/100)*1,IF(ColorIndex('Student Details'!M33)=4,(K40/100)*2+(K41/100)*2,(K40/100)*3+(K41/100)*3)))</f>
        <v>#NAME?</v>
      </c>
      <c r="L42" s="108" t="e">
        <f ca="1">IF(ColorIndex('Student Details'!N33)&gt;5,"",IF(ColorIndex('Student Details'!N33)=5,(L40/100)*1+(L41/100)*1,IF(ColorIndex('Student Details'!N33)=4,(L40/100)*2+(L41/100)*2,(L40/100)*3+(L41/100)*3)))</f>
        <v>#NAME?</v>
      </c>
      <c r="M42" s="108" t="e">
        <f ca="1">IF(ColorIndex('Student Details'!O33)&gt;5,"",IF(ColorIndex('Student Details'!O33)=5,(M40/100)*1+(M41/100)*1,IF(ColorIndex('Student Details'!O33)=4,(M40/100)*2+(M41/100)*2,(M40/100)*3+(M41/100)*3)))</f>
        <v>#NAME?</v>
      </c>
      <c r="N42" s="108" t="e">
        <f ca="1">IF(ColorIndex('Student Details'!P33)&gt;5,"",IF(ColorIndex('Student Details'!P33)=5,(N40/100)*1+(N41/100)*1,IF(ColorIndex('Student Details'!P33)=4,(N40/100)*2+(N41/100)*2,(N40/100)*3+(N41/100)*3)))</f>
        <v>#NAME?</v>
      </c>
      <c r="O42" s="108" t="e">
        <f ca="1">IF(ColorIndex('Student Details'!Q33)&gt;5,"",IF(ColorIndex('Student Details'!Q33)=5,(O40/100)*1+(O41/100)*1,IF(ColorIndex('Student Details'!Q33)=4,(O40/100)*2+(O41/100)*2,(O40/100)*3+(O41/100)*3)))</f>
        <v>#NAME?</v>
      </c>
      <c r="P42" s="108" t="e">
        <f ca="1">IF(ColorIndex('Student Details'!R33)&gt;5,"",IF(ColorIndex('Student Details'!R33)=5,(P40/100)*1+(P41/100)*1,IF(ColorIndex('Student Details'!R33)=4,(P40/100)*2+(P41/100)*2,(P40/100)*3+(P41/100)*3)))</f>
        <v>#NAME?</v>
      </c>
      <c r="Q42" s="108" t="e">
        <f ca="1">IF(ColorIndex('Student Details'!S33)&gt;5,"",IF(ColorIndex('Student Details'!S33)=5,(Q40/100)*1+(Q41/100)*1,IF(ColorIndex('Student Details'!S33)=4,(Q40/100)*2+(Q41/100)*2,(Q40/100)*3+(Q41/100)*3)))</f>
        <v>#NAME?</v>
      </c>
      <c r="R42" s="108" t="e">
        <f ca="1">IF(ColorIndex('Student Details'!T33)&gt;5,"",IF(ColorIndex('Student Details'!T33)=5,(R40/100)*1+(R41/100)*1,IF(ColorIndex('Student Details'!T33)=4,(R40/100)*2+(R41/100)*2,(R40/100)*3+(R41/100)*3)))</f>
        <v>#NAME?</v>
      </c>
      <c r="S42" s="108" t="e">
        <f ca="1">IF(ColorIndex('Student Details'!U33)&gt;5,"",IF(ColorIndex('Student Details'!U33)=5,(S40/100)*1+(S41/100)*1,IF(ColorIndex('Student Details'!U33)=4,(S40/100)*2+(S41/100)*2,(S40/100)*3+(S41/100)*3)))</f>
        <v>#NAME?</v>
      </c>
      <c r="T42" s="108" t="e">
        <f ca="1">IF(ColorIndex('Student Details'!V33)&gt;5,"",IF(ColorIndex('Student Details'!V33)=5,(T40/100)*1+(T41/100)*1,IF(ColorIndex('Student Details'!V33)=4,(T40/100)*2+(T41/100)*2,(T40/100)*3+(T41/100)*3)))</f>
        <v>#NAME?</v>
      </c>
      <c r="U42" s="108" t="e">
        <f ca="1">IF(ColorIndex('Student Details'!W33)&gt;5,"",IF(ColorIndex('Student Details'!W33)=5,(U40/100)*1+(U41/100)*1,IF(ColorIndex('Student Details'!W33)=4,(U40/100)*2+(U41/100)*2,(U40/100)*3+(U41/100)*3)))</f>
        <v>#NAME?</v>
      </c>
      <c r="V42" s="39" t="e">
        <f ca="1">IFERROR(SUM(J42:U42)/COUNTIF(J42:U42,"&gt;0.0"),NA())</f>
        <v>#N/A</v>
      </c>
      <c r="W42" s="486"/>
      <c r="X42" s="486"/>
      <c r="Y42" s="20"/>
      <c r="Z42" s="20"/>
      <c r="AA42" s="20"/>
    </row>
    <row r="43" spans="1:27" ht="18.75" hidden="1" customHeight="1">
      <c r="A43" s="20"/>
      <c r="B43" s="20"/>
      <c r="C43" s="20"/>
      <c r="D43" s="192"/>
      <c r="E43" s="192"/>
      <c r="F43" s="109"/>
      <c r="G43" s="110"/>
      <c r="H43" s="110"/>
      <c r="I43" s="111"/>
      <c r="J43" s="108" t="e">
        <f ca="1">IF(ColorIndex('Student Details'!L33)&gt;5,0,IF(ColorIndex('Student Details'!L33)=5,1,IF(ColorIndex('Student Details'!L33)=4,2,3)))</f>
        <v>#NAME?</v>
      </c>
      <c r="K43" s="108" t="e">
        <f ca="1">IF(ColorIndex('Student Details'!M33)&gt;5,0,IF(ColorIndex('Student Details'!M33)=5,1,IF(ColorIndex('Student Details'!M33)=4,2,3)))</f>
        <v>#NAME?</v>
      </c>
      <c r="L43" s="108" t="e">
        <f ca="1">IF(ColorIndex('Student Details'!N33)&gt;5,0,IF(ColorIndex('Student Details'!N33)=5,1,IF(ColorIndex('Student Details'!N33)=4,2,3)))</f>
        <v>#NAME?</v>
      </c>
      <c r="M43" s="108" t="e">
        <f ca="1">IF(ColorIndex('Student Details'!O33)&gt;5,0,IF(ColorIndex('Student Details'!O33)=5,1,IF(ColorIndex('Student Details'!O33)=4,2,3)))</f>
        <v>#NAME?</v>
      </c>
      <c r="N43" s="108" t="e">
        <f ca="1">IF(ColorIndex('Student Details'!P33)&gt;5,0,IF(ColorIndex('Student Details'!P33)=5,1,IF(ColorIndex('Student Details'!P33)=4,2,3)))</f>
        <v>#NAME?</v>
      </c>
      <c r="O43" s="108" t="e">
        <f ca="1">IF(ColorIndex('Student Details'!Q33)&gt;5,0,IF(ColorIndex('Student Details'!Q33)=5,1,IF(ColorIndex('Student Details'!Q33)=4,2,3)))</f>
        <v>#NAME?</v>
      </c>
      <c r="P43" s="108" t="e">
        <f ca="1">IF(ColorIndex('Student Details'!R33)&gt;5,0,IF(ColorIndex('Student Details'!R33)=5,1,IF(ColorIndex('Student Details'!R33)=4,2,3)))</f>
        <v>#NAME?</v>
      </c>
      <c r="Q43" s="108" t="e">
        <f ca="1">IF(ColorIndex('Student Details'!S33)&gt;5,0,IF(ColorIndex('Student Details'!S33)=5,1,IF(ColorIndex('Student Details'!S33)=4,2,3)))</f>
        <v>#NAME?</v>
      </c>
      <c r="R43" s="108" t="e">
        <f ca="1">IF(ColorIndex('Student Details'!T33)&gt;5,0,IF(ColorIndex('Student Details'!T33)=5,1,IF(ColorIndex('Student Details'!T33)=4,2,3)))</f>
        <v>#NAME?</v>
      </c>
      <c r="S43" s="108" t="e">
        <f ca="1">IF(ColorIndex('Student Details'!U33)&gt;5,0,IF(ColorIndex('Student Details'!U33)=5,1,IF(ColorIndex('Student Details'!U33)=4,2,3)))</f>
        <v>#NAME?</v>
      </c>
      <c r="T43" s="108" t="e">
        <f ca="1">IF(ColorIndex('Student Details'!V33)&gt;5,0,IF(ColorIndex('Student Details'!V33)=5,1,IF(ColorIndex('Student Details'!V33)=4,2,3)))</f>
        <v>#NAME?</v>
      </c>
      <c r="U43" s="108" t="e">
        <f ca="1">IF(ColorIndex('Student Details'!W33)&gt;5,0,IF(ColorIndex('Student Details'!W33)=5,1,IF(ColorIndex('Student Details'!W33)=4,2,3)))</f>
        <v>#NAME?</v>
      </c>
      <c r="V43" s="39"/>
      <c r="W43" s="105"/>
      <c r="X43" s="104"/>
      <c r="Y43" s="20"/>
      <c r="Z43" s="20"/>
      <c r="AA43" s="20"/>
    </row>
    <row r="44" spans="1:27" ht="18.75" hidden="1" customHeight="1">
      <c r="A44" s="20"/>
      <c r="B44" s="20"/>
      <c r="C44" s="20"/>
      <c r="D44" s="478" t="str">
        <f>'Student List'!$F$26</f>
        <v>C0.8</v>
      </c>
      <c r="E44" s="478"/>
      <c r="F44" s="479" t="s">
        <v>66</v>
      </c>
      <c r="G44" s="479"/>
      <c r="H44" s="38" t="s">
        <v>64</v>
      </c>
      <c r="I44" s="40">
        <f>$C$11</f>
        <v>0</v>
      </c>
      <c r="J44" s="39" t="e">
        <f ca="1">IF(ColorIndex('Student Details'!L$34)=35,"",$I$44*$T$3)</f>
        <v>#NAME?</v>
      </c>
      <c r="K44" s="39" t="e">
        <f ca="1">IF(ColorIndex('Student Details'!M$34)=35,"",$I$44*$T$3)</f>
        <v>#NAME?</v>
      </c>
      <c r="L44" s="39" t="e">
        <f ca="1">IF(ColorIndex('Student Details'!N$34)=35,"",$I$44*$T$3)</f>
        <v>#NAME?</v>
      </c>
      <c r="M44" s="39" t="e">
        <f ca="1">IF(ColorIndex('Student Details'!O$34)=35,"",$I$44*$T$3)</f>
        <v>#NAME?</v>
      </c>
      <c r="N44" s="39" t="e">
        <f ca="1">IF(ColorIndex('Student Details'!P$34)=35,"",$I$44*$T$3)</f>
        <v>#NAME?</v>
      </c>
      <c r="O44" s="39" t="e">
        <f ca="1">IF(ColorIndex('Student Details'!Q$34)=35,"",$I$44*$T$3)</f>
        <v>#NAME?</v>
      </c>
      <c r="P44" s="39" t="e">
        <f ca="1">IF(ColorIndex('Student Details'!R$34)=35,"",$I$44*$T$3)</f>
        <v>#NAME?</v>
      </c>
      <c r="Q44" s="39" t="e">
        <f ca="1">IF(ColorIndex('Student Details'!S$34)=35,"",$I$44*$T$3)</f>
        <v>#NAME?</v>
      </c>
      <c r="R44" s="39" t="e">
        <f ca="1">IF(ColorIndex('Student Details'!T$34)=35,"",$I$44*$T$3)</f>
        <v>#NAME?</v>
      </c>
      <c r="S44" s="39" t="e">
        <f ca="1">IF(ColorIndex('Student Details'!U$34)=35,"",$I$44*$T$3)</f>
        <v>#NAME?</v>
      </c>
      <c r="T44" s="39" t="e">
        <f ca="1">IF(ColorIndex('Student Details'!V$34)=35,"",$I$44*$T$3)</f>
        <v>#NAME?</v>
      </c>
      <c r="U44" s="39" t="e">
        <f ca="1">IF(ColorIndex('Student Details'!W$34)=35,"",$I$44*$T$3)</f>
        <v>#NAME?</v>
      </c>
      <c r="V44" s="39" t="e">
        <f ca="1">IFERROR(SUM(J44:U45)/COUNTIF(J44:U44,"&gt;0.0"),NA())</f>
        <v>#N/A</v>
      </c>
      <c r="W44" s="484" t="e">
        <f ca="1">(SUMIF(J46:U46,"&gt;0.0")/SUMIF(J47:U47,"&gt;0.0"))*100</f>
        <v>#DIV/0!</v>
      </c>
      <c r="X44" s="484" t="e">
        <f ca="1">IF(W44&gt;($Z$3*100),"Yes","No")</f>
        <v>#DIV/0!</v>
      </c>
      <c r="Y44" s="20"/>
      <c r="Z44" s="20"/>
      <c r="AA44" s="20"/>
    </row>
    <row r="45" spans="1:27" ht="18.75" hidden="1" customHeight="1">
      <c r="A45" s="20"/>
      <c r="B45" s="20"/>
      <c r="C45" s="20"/>
      <c r="D45" s="478"/>
      <c r="E45" s="478"/>
      <c r="F45" s="479"/>
      <c r="G45" s="479"/>
      <c r="H45" s="38" t="s">
        <v>67</v>
      </c>
      <c r="I45" s="40">
        <f>$L$3</f>
        <v>96.721311475409834</v>
      </c>
      <c r="J45" s="39" t="e">
        <f ca="1">IF(ColorIndex('Student Details'!L$34)=35,"",$I$45*$T$4)</f>
        <v>#NAME?</v>
      </c>
      <c r="K45" s="39" t="e">
        <f ca="1">IF(ColorIndex('Student Details'!M$34)=35,"",$I$45*$T$4)</f>
        <v>#NAME?</v>
      </c>
      <c r="L45" s="39" t="e">
        <f ca="1">IF(ColorIndex('Student Details'!N$34)=35,"",$I$45*$T$4)</f>
        <v>#NAME?</v>
      </c>
      <c r="M45" s="39" t="e">
        <f ca="1">IF(ColorIndex('Student Details'!O$34)=35,"",$I$45*$T$4)</f>
        <v>#NAME?</v>
      </c>
      <c r="N45" s="39" t="e">
        <f ca="1">IF(ColorIndex('Student Details'!P$34)=35,"",$I$45*$T$4)</f>
        <v>#NAME?</v>
      </c>
      <c r="O45" s="39" t="e">
        <f ca="1">IF(ColorIndex('Student Details'!Q$34)=35,"",$I$45*$T$4)</f>
        <v>#NAME?</v>
      </c>
      <c r="P45" s="39" t="e">
        <f ca="1">IF(ColorIndex('Student Details'!R$34)=35,"",$I$45*$T$4)</f>
        <v>#NAME?</v>
      </c>
      <c r="Q45" s="39" t="e">
        <f ca="1">IF(ColorIndex('Student Details'!S$34)=35,"",$I$45*$T$4)</f>
        <v>#NAME?</v>
      </c>
      <c r="R45" s="39" t="e">
        <f ca="1">IF(ColorIndex('Student Details'!T$34)=35,"",$I$45*$T$4)</f>
        <v>#NAME?</v>
      </c>
      <c r="S45" s="39" t="e">
        <f ca="1">IF(ColorIndex('Student Details'!U$34)=35,"",$I$45*$T$4)</f>
        <v>#NAME?</v>
      </c>
      <c r="T45" s="39" t="e">
        <f ca="1">IF(ColorIndex('Student Details'!V$34)=35,"",$I$45*$T$4)</f>
        <v>#NAME?</v>
      </c>
      <c r="U45" s="39" t="e">
        <f ca="1">IF(ColorIndex('Student Details'!W$34)=35,"",$I$45*$T$4)</f>
        <v>#NAME?</v>
      </c>
      <c r="V45" s="39" t="e">
        <f>NA()</f>
        <v>#N/A</v>
      </c>
      <c r="W45" s="485"/>
      <c r="X45" s="485"/>
      <c r="Y45" s="20"/>
      <c r="Z45" s="20"/>
      <c r="AA45" s="20"/>
    </row>
    <row r="46" spans="1:27" ht="18.75" hidden="1" customHeight="1">
      <c r="A46" s="20"/>
      <c r="B46" s="20"/>
      <c r="C46" s="20"/>
      <c r="D46" s="478"/>
      <c r="E46" s="478"/>
      <c r="F46" s="481" t="str">
        <f>D44 &amp; "     Attainment"</f>
        <v>C0.8     Attainment</v>
      </c>
      <c r="G46" s="482"/>
      <c r="H46" s="482"/>
      <c r="I46" s="483"/>
      <c r="J46" s="108" t="e">
        <f ca="1">IF(ColorIndex('Student Details'!L34)&gt;5,"",IF(ColorIndex('Student Details'!L34)=5,(J44/100)*1+(J45/100)*1,IF(ColorIndex('Student Details'!L34)=4,(J44/100)*2+(J45/100)*2,(J44/100)*3+(J45/100)*3)))</f>
        <v>#NAME?</v>
      </c>
      <c r="K46" s="108" t="e">
        <f ca="1">IF(ColorIndex('Student Details'!M34)&gt;5,"",IF(ColorIndex('Student Details'!M34)=5,(K44/100)*1+(K45/100)*1,IF(ColorIndex('Student Details'!M34)=4,(K44/100)*2+(K45/100)*2,(K44/100)*3+(K45/100)*3)))</f>
        <v>#NAME?</v>
      </c>
      <c r="L46" s="108" t="e">
        <f ca="1">IF(ColorIndex('Student Details'!N34)&gt;5,"",IF(ColorIndex('Student Details'!N34)=5,(L44/100)*1+(L45/100)*1,IF(ColorIndex('Student Details'!N34)=4,(L44/100)*2+(L45/100)*2,(L44/100)*3+(L45/100)*3)))</f>
        <v>#NAME?</v>
      </c>
      <c r="M46" s="108" t="e">
        <f ca="1">IF(ColorIndex('Student Details'!O34)&gt;5,"",IF(ColorIndex('Student Details'!O34)=5,(M44/100)*1+(M45/100)*1,IF(ColorIndex('Student Details'!O34)=4,(M44/100)*2+(M45/100)*2,(M44/100)*3+(M45/100)*3)))</f>
        <v>#NAME?</v>
      </c>
      <c r="N46" s="108" t="e">
        <f ca="1">IF(ColorIndex('Student Details'!P34)&gt;5,"",IF(ColorIndex('Student Details'!P34)=5,(N44/100)*1+(N45/100)*1,IF(ColorIndex('Student Details'!P34)=4,(N44/100)*2+(N45/100)*2,(N44/100)*3+(N45/100)*3)))</f>
        <v>#NAME?</v>
      </c>
      <c r="O46" s="108" t="e">
        <f ca="1">IF(ColorIndex('Student Details'!Q34)&gt;5,"",IF(ColorIndex('Student Details'!Q34)=5,(O44/100)*1+(O45/100)*1,IF(ColorIndex('Student Details'!Q34)=4,(O44/100)*2+(O45/100)*2,(O44/100)*3+(O45/100)*3)))</f>
        <v>#NAME?</v>
      </c>
      <c r="P46" s="108" t="e">
        <f ca="1">IF(ColorIndex('Student Details'!R34)&gt;5,"",IF(ColorIndex('Student Details'!R34)=5,(P44/100)*1+(P45/100)*1,IF(ColorIndex('Student Details'!R34)=4,(P44/100)*2+(P45/100)*2,(P44/100)*3+(P45/100)*3)))</f>
        <v>#NAME?</v>
      </c>
      <c r="Q46" s="108" t="e">
        <f ca="1">IF(ColorIndex('Student Details'!S34)&gt;5,"",IF(ColorIndex('Student Details'!S34)=5,(Q44/100)*1+(Q45/100)*1,IF(ColorIndex('Student Details'!S34)=4,(Q44/100)*2+(Q45/100)*2,(Q44/100)*3+(Q45/100)*3)))</f>
        <v>#NAME?</v>
      </c>
      <c r="R46" s="108" t="e">
        <f ca="1">IF(ColorIndex('Student Details'!T34)&gt;5,"",IF(ColorIndex('Student Details'!T34)=5,(R44/100)*1+(R45/100)*1,IF(ColorIndex('Student Details'!T34)=4,(R44/100)*2+(R45/100)*2,(R44/100)*3+(R45/100)*3)))</f>
        <v>#NAME?</v>
      </c>
      <c r="S46" s="108" t="e">
        <f ca="1">IF(ColorIndex('Student Details'!U34)&gt;5,"",IF(ColorIndex('Student Details'!U34)=5,(S44/100)*1+(S45/100)*1,IF(ColorIndex('Student Details'!U34)=4,(S44/100)*2+(S45/100)*2,(S44/100)*3+(S45/100)*3)))</f>
        <v>#NAME?</v>
      </c>
      <c r="T46" s="108" t="e">
        <f ca="1">IF(ColorIndex('Student Details'!V34)&gt;5,"",IF(ColorIndex('Student Details'!V34)=5,(T44/100)*1+(T45/100)*1,IF(ColorIndex('Student Details'!V34)=4,(T44/100)*2+(T45/100)*2,(T44/100)*3+(T45/100)*3)))</f>
        <v>#NAME?</v>
      </c>
      <c r="U46" s="108" t="e">
        <f ca="1">IF(ColorIndex('Student Details'!W34)&gt;5,"",IF(ColorIndex('Student Details'!W34)=5,(U44/100)*1+(U45/100)*1,IF(ColorIndex('Student Details'!W34)=4,(U44/100)*2+(U45/100)*2,(U44/100)*3+(U45/100)*3)))</f>
        <v>#NAME?</v>
      </c>
      <c r="V46" s="39" t="e">
        <f ca="1">IFERROR(SUM(J46:U46)/COUNTIF(J46:U46,"&gt;0.0"),NA())</f>
        <v>#N/A</v>
      </c>
      <c r="W46" s="486"/>
      <c r="X46" s="486"/>
      <c r="Y46" s="20"/>
      <c r="Z46" s="20"/>
      <c r="AA46" s="20"/>
    </row>
    <row r="47" spans="1:27" ht="18.75" hidden="1" customHeight="1">
      <c r="A47" s="20"/>
      <c r="B47" s="20"/>
      <c r="C47" s="20"/>
      <c r="D47" s="192"/>
      <c r="E47" s="192"/>
      <c r="F47" s="109"/>
      <c r="G47" s="110"/>
      <c r="H47" s="110"/>
      <c r="I47" s="111"/>
      <c r="J47" s="108" t="e">
        <f ca="1">IF(ColorIndex('Student Details'!L34)&gt;5,0,IF(ColorIndex('Student Details'!L34)=5,1,IF(ColorIndex('Student Details'!L34)=4,2,3)))</f>
        <v>#NAME?</v>
      </c>
      <c r="K47" s="108" t="e">
        <f ca="1">IF(ColorIndex('Student Details'!M34)&gt;5,0,IF(ColorIndex('Student Details'!M34)=5,1,IF(ColorIndex('Student Details'!M34)=4,2,3)))</f>
        <v>#NAME?</v>
      </c>
      <c r="L47" s="108" t="e">
        <f ca="1">IF(ColorIndex('Student Details'!N34)&gt;5,0,IF(ColorIndex('Student Details'!N34)=5,1,IF(ColorIndex('Student Details'!N34)=4,2,3)))</f>
        <v>#NAME?</v>
      </c>
      <c r="M47" s="108" t="e">
        <f ca="1">IF(ColorIndex('Student Details'!O34)&gt;5,0,IF(ColorIndex('Student Details'!O34)=5,1,IF(ColorIndex('Student Details'!O34)=4,2,3)))</f>
        <v>#NAME?</v>
      </c>
      <c r="N47" s="108" t="e">
        <f ca="1">IF(ColorIndex('Student Details'!P34)&gt;5,0,IF(ColorIndex('Student Details'!P34)=5,1,IF(ColorIndex('Student Details'!P34)=4,2,3)))</f>
        <v>#NAME?</v>
      </c>
      <c r="O47" s="108" t="e">
        <f ca="1">IF(ColorIndex('Student Details'!Q34)&gt;5,0,IF(ColorIndex('Student Details'!Q34)=5,1,IF(ColorIndex('Student Details'!Q34)=4,2,3)))</f>
        <v>#NAME?</v>
      </c>
      <c r="P47" s="108" t="e">
        <f ca="1">IF(ColorIndex('Student Details'!R34)&gt;5,0,IF(ColorIndex('Student Details'!R34)=5,1,IF(ColorIndex('Student Details'!R34)=4,2,3)))</f>
        <v>#NAME?</v>
      </c>
      <c r="Q47" s="108" t="e">
        <f ca="1">IF(ColorIndex('Student Details'!S34)&gt;5,0,IF(ColorIndex('Student Details'!S34)=5,1,IF(ColorIndex('Student Details'!S34)=4,2,3)))</f>
        <v>#NAME?</v>
      </c>
      <c r="R47" s="108" t="e">
        <f ca="1">IF(ColorIndex('Student Details'!T34)&gt;5,0,IF(ColorIndex('Student Details'!T34)=5,1,IF(ColorIndex('Student Details'!T34)=4,2,3)))</f>
        <v>#NAME?</v>
      </c>
      <c r="S47" s="108" t="e">
        <f ca="1">IF(ColorIndex('Student Details'!U34)&gt;5,0,IF(ColorIndex('Student Details'!U34)=5,1,IF(ColorIndex('Student Details'!U34)=4,2,3)))</f>
        <v>#NAME?</v>
      </c>
      <c r="T47" s="108" t="e">
        <f ca="1">IF(ColorIndex('Student Details'!V34)&gt;5,0,IF(ColorIndex('Student Details'!V34)=5,1,IF(ColorIndex('Student Details'!V34)=4,2,3)))</f>
        <v>#NAME?</v>
      </c>
      <c r="U47" s="108" t="e">
        <f ca="1">IF(ColorIndex('Student Details'!W34)&gt;5,0,IF(ColorIndex('Student Details'!W34)=5,1,IF(ColorIndex('Student Details'!W34)=4,2,3)))</f>
        <v>#NAME?</v>
      </c>
      <c r="V47" s="112"/>
      <c r="W47" s="113"/>
      <c r="X47" s="113"/>
      <c r="Y47" s="20"/>
      <c r="Z47" s="20"/>
      <c r="AA47" s="20"/>
    </row>
    <row r="48" spans="1:27" s="37" customFormat="1" ht="43.5" customHeight="1">
      <c r="A48" s="20"/>
      <c r="B48" s="20"/>
      <c r="C48" s="20"/>
      <c r="D48" s="480" t="s">
        <v>61</v>
      </c>
      <c r="E48" s="480"/>
      <c r="F48" s="480"/>
      <c r="G48" s="480"/>
      <c r="H48" s="480"/>
      <c r="I48" s="480"/>
      <c r="J48" s="224" t="str">
        <f ca="1">IF(IFERROR(SUM(J18,J22,J26,J30,J34,J38,J42,J46)/(COUNTIF(J19,"&gt;0.0")+COUNTIF(J23,"&gt;0.0")+COUNTIF(J27,"&gt;0.0")+COUNTIF(J31,"&gt;0.0")+COUNTIF(J35,"&gt;0.0")+COUNTIF(J39,"&gt;0.0")+COUNTIF(J43,"&gt;0.0")+COUNTIF(J47,"&gt;0.0")),0)=0,"",SUM(J18,J22,J26,J30,J34,J38,J42,J46)/(COUNTIF(J19,"&gt;0.0")+COUNTIF(J23,"&gt;0.0")+COUNTIF(J27,"&gt;0.0")+COUNTIF(J31,"&gt;0.0")+COUNTIF(J35,"&gt;0.0")+COUNTIF(J39,"&gt;0.0")+COUNTIF(J43,"&gt;0.0")+COUNTIF(J47,"&gt;0.0")))</f>
        <v/>
      </c>
      <c r="K48" s="224" t="str">
        <f ca="1">IF(IFERROR(SUM(K18,K22,K26,K30,K34,K38,K42,K46)/(COUNTIF(K19,"&gt;0.0")+COUNTIF(K23,"&gt;0.0")+COUNTIF(K27,"&gt;0.0")+COUNTIF(K31,"&gt;0.0")+COUNTIF(K35,"&gt;0.0")+COUNTIF(K39,"&gt;0.0")+COUNTIF(K43,"&gt;0.0")+COUNTIF(K47,"&gt;0.0")),0)=0,"",SUM(K18,K22,K26,K30,K34,K38,K42,K46)/(COUNTIF(K19,"&gt;0.0")+COUNTIF(K23,"&gt;0.0")+COUNTIF(K27,"&gt;0.0")+COUNTIF(K31,"&gt;0.0")+COUNTIF(K35,"&gt;0.0")+COUNTIF(K39,"&gt;0.0")+COUNTIF(K43,"&gt;0.0")+COUNTIF(K47,"&gt;0.0")))</f>
        <v/>
      </c>
      <c r="L48" s="224" t="str">
        <f t="shared" ref="L48:U48" ca="1" si="0">IF(IFERROR(SUM(L18,L22,L26,L30,L34,L38,L42,L46)/(COUNTIF(L19,"&gt;0.0")+COUNTIF(L23,"&gt;0.0")+COUNTIF(L27,"&gt;0.0")+COUNTIF(L31,"&gt;0.0")+COUNTIF(L35,"&gt;0.0")+COUNTIF(L39,"&gt;0.0")+COUNTIF(L43,"&gt;0.0")+COUNTIF(L47,"&gt;0.0")),0)=0,"",SUM(L18,L22,L26,L30,L34,L38,L42,L46)/(COUNTIF(L19,"&gt;0.0")+COUNTIF(L23,"&gt;0.0")+COUNTIF(L27,"&gt;0.0")+COUNTIF(L31,"&gt;0.0")+COUNTIF(L35,"&gt;0.0")+COUNTIF(L39,"&gt;0.0")+COUNTIF(L43,"&gt;0.0")+COUNTIF(L47,"&gt;0.0")))</f>
        <v/>
      </c>
      <c r="M48" s="224" t="str">
        <f t="shared" ca="1" si="0"/>
        <v/>
      </c>
      <c r="N48" s="224" t="str">
        <f ca="1">IF(IFERROR(SUM(N18,N22,N26,N30,N34,N38,N42,N46)/(COUNTIF(N19,"&gt;0.0")+COUNTIF(N23,"&gt;0.0")+COUNTIF(N27,"&gt;0.0")+COUNTIF(N31,"&gt;0.0")+COUNTIF(N35,"&gt;0.0")+COUNTIF(N39,"&gt;0.0")+COUNTIF(N43,"&gt;0.0")+COUNTIF(N47,"&gt;0.0")),0)=0,"",SUM(N18,N22,N26,N30,N34,N38,N42,N46)/(COUNTIF(N19,"&gt;0.0")+COUNTIF(N23,"&gt;0.0")+COUNTIF(N27,"&gt;0.0")+COUNTIF(N31,"&gt;0.0")+COUNTIF(N35,"&gt;0.0")+COUNTIF(N39,"&gt;0.0")+COUNTIF(N43,"&gt;0.0")+COUNTIF(N47,"&gt;0.0")))</f>
        <v/>
      </c>
      <c r="O48" s="224" t="str">
        <f t="shared" ca="1" si="0"/>
        <v/>
      </c>
      <c r="P48" s="224" t="str">
        <f t="shared" ca="1" si="0"/>
        <v/>
      </c>
      <c r="Q48" s="224" t="str">
        <f t="shared" ca="1" si="0"/>
        <v/>
      </c>
      <c r="R48" s="224" t="str">
        <f ca="1">IF(IFERROR(SUM(R18,R22,R26,R30,R34,R38,R42,R46)/(COUNTIF(R19,"&gt;0.0")+COUNTIF(R23,"&gt;0.0")+COUNTIF(R27,"&gt;0.0")+COUNTIF(R31,"&gt;0.0")+COUNTIF(R35,"&gt;0.0")+COUNTIF(R39,"&gt;0.0")+COUNTIF(R43,"&gt;0.0")+COUNTIF(R47,"&gt;0.0")),0)=0,"",SUM(R18,R22,R26,R30,R34,R38,R42,R46)/(COUNTIF(R19,"&gt;0.0")+COUNTIF(R23,"&gt;0.0")+COUNTIF(R27,"&gt;0.0")+COUNTIF(R31,"&gt;0.0")+COUNTIF(R35,"&gt;0.0")+COUNTIF(R39,"&gt;0.0")+COUNTIF(R43,"&gt;0.0")+COUNTIF(R47,"&gt;0.0")))</f>
        <v/>
      </c>
      <c r="S48" s="224" t="str">
        <f t="shared" ca="1" si="0"/>
        <v/>
      </c>
      <c r="T48" s="224" t="str">
        <f t="shared" ca="1" si="0"/>
        <v/>
      </c>
      <c r="U48" s="224" t="str">
        <f t="shared" ca="1" si="0"/>
        <v/>
      </c>
      <c r="V48" s="52"/>
      <c r="W48" s="42"/>
      <c r="X48" s="42"/>
      <c r="Y48" s="20"/>
      <c r="Z48" s="20"/>
      <c r="AA48" s="20"/>
    </row>
    <row r="49" spans="1:2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idden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38.25" customHeight="1">
      <c r="A51" s="20"/>
      <c r="B51" s="20" t="s">
        <v>76</v>
      </c>
      <c r="C51" s="20"/>
      <c r="D51" s="504" t="s">
        <v>102</v>
      </c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54.75" customHeight="1">
      <c r="A52" s="20"/>
      <c r="B52" s="20"/>
      <c r="C52" s="20"/>
      <c r="D52" s="498" t="s">
        <v>59</v>
      </c>
      <c r="E52" s="498"/>
      <c r="F52" s="498" t="s">
        <v>60</v>
      </c>
      <c r="G52" s="498"/>
      <c r="H52" s="498"/>
      <c r="I52" s="498"/>
      <c r="J52" s="189" t="s">
        <v>95</v>
      </c>
      <c r="K52" s="189" t="s">
        <v>96</v>
      </c>
      <c r="L52" s="189" t="s">
        <v>97</v>
      </c>
      <c r="M52" s="189" t="s">
        <v>98</v>
      </c>
      <c r="N52" s="503" t="s">
        <v>71</v>
      </c>
      <c r="O52" s="503"/>
      <c r="P52" s="503" t="str">
        <f>"Achievement (Goal  : " &amp;Z3*100&amp;"% )"</f>
        <v>Achievement (Goal  : 45% )</v>
      </c>
      <c r="Q52" s="503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8.75" customHeight="1">
      <c r="A53" s="20"/>
      <c r="B53" s="20"/>
      <c r="C53" s="20"/>
      <c r="D53" s="499" t="str">
        <f>'Student List'!$F$12</f>
        <v>C0.1</v>
      </c>
      <c r="E53" s="500"/>
      <c r="F53" s="479" t="s">
        <v>66</v>
      </c>
      <c r="G53" s="479"/>
      <c r="H53" s="38" t="s">
        <v>64</v>
      </c>
      <c r="I53" s="40">
        <f>$C$4</f>
        <v>79.426229508196712</v>
      </c>
      <c r="J53" s="53" t="e">
        <f ca="1">IF(ColorIndex('Student Details'!L38)=35,"",$I$16*$T$3)</f>
        <v>#NAME?</v>
      </c>
      <c r="K53" s="53" t="e">
        <f ca="1">IF(ColorIndex('Student Details'!M38)=35,"",$I$16*$T$3)</f>
        <v>#NAME?</v>
      </c>
      <c r="L53" s="53" t="e">
        <f ca="1">IF(ColorIndex('Student Details'!N38)=35,"",$I$16*$T$3)</f>
        <v>#NAME?</v>
      </c>
      <c r="M53" s="53" t="e">
        <f ca="1">IF(ColorIndex('Student Details'!O38)=35,"",$I$16*$T$3)</f>
        <v>#NAME?</v>
      </c>
      <c r="N53" s="475" t="e">
        <f ca="1">(SUMIF(J55:M55,"&gt;0.0")/SUMIF(J56:M56,"&gt;0.0"))*100</f>
        <v>#DIV/0!</v>
      </c>
      <c r="O53" s="475"/>
      <c r="P53" s="475" t="e">
        <f ca="1">IF(N53&gt;($Z$3*100),"Yes","No")</f>
        <v>#DIV/0!</v>
      </c>
      <c r="Q53" s="475"/>
      <c r="R53" s="20"/>
      <c r="S53" s="20"/>
      <c r="T53" s="20"/>
      <c r="U53" s="20"/>
      <c r="V53" s="39" t="e">
        <f ca="1">IFERROR(SUM(J53:P54)/COUNTIF(J53:P53,"&gt;0.0"),NA())</f>
        <v>#N/A</v>
      </c>
      <c r="W53" s="20"/>
      <c r="X53" s="20"/>
      <c r="Y53" s="20"/>
      <c r="Z53" s="20"/>
      <c r="AA53" s="20"/>
    </row>
    <row r="54" spans="1:27" ht="18.75" customHeight="1">
      <c r="A54" s="20"/>
      <c r="B54" s="20"/>
      <c r="C54" s="20"/>
      <c r="D54" s="501"/>
      <c r="E54" s="502"/>
      <c r="F54" s="479"/>
      <c r="G54" s="479"/>
      <c r="H54" s="38" t="s">
        <v>67</v>
      </c>
      <c r="I54" s="40">
        <f>$L$3</f>
        <v>96.721311475409834</v>
      </c>
      <c r="J54" s="53" t="e">
        <f ca="1">IF(ColorIndex('Student Details'!L38)=35,"",$I$17*$T$4)</f>
        <v>#NAME?</v>
      </c>
      <c r="K54" s="53" t="e">
        <f ca="1">IF(ColorIndex('Student Details'!M38)=35,"",$I$17*$T$4)</f>
        <v>#NAME?</v>
      </c>
      <c r="L54" s="53" t="e">
        <f ca="1">IF(ColorIndex('Student Details'!N38)=35,"",$I$17*$T$4)</f>
        <v>#NAME?</v>
      </c>
      <c r="M54" s="53" t="e">
        <f ca="1">IF(ColorIndex('Student Details'!O38)=35,"",$I$17*$T$4)</f>
        <v>#NAME?</v>
      </c>
      <c r="N54" s="475"/>
      <c r="O54" s="475"/>
      <c r="P54" s="475"/>
      <c r="Q54" s="475"/>
      <c r="R54" s="20"/>
      <c r="S54" s="20"/>
      <c r="T54" s="20"/>
      <c r="U54" s="20"/>
      <c r="V54" s="39" t="e">
        <f>NA()</f>
        <v>#N/A</v>
      </c>
      <c r="W54" s="20"/>
      <c r="X54" s="20"/>
      <c r="Y54" s="20"/>
      <c r="Z54" s="20"/>
      <c r="AA54" s="20"/>
    </row>
    <row r="55" spans="1:27" ht="18.75" customHeight="1">
      <c r="A55" s="20"/>
      <c r="B55" s="20"/>
      <c r="C55" s="20"/>
      <c r="D55" s="501"/>
      <c r="E55" s="502"/>
      <c r="F55" s="481" t="str">
        <f>D53 &amp; "     Attainment"</f>
        <v>C0.1     Attainment</v>
      </c>
      <c r="G55" s="482"/>
      <c r="H55" s="482"/>
      <c r="I55" s="483"/>
      <c r="J55" s="108" t="e">
        <f ca="1">IF(ColorIndex('Student Details'!L38)&gt;5,"",IF(ColorIndex('Student Details'!L38)=5,(J53/100)*1+(J54/100)*1,IF(ColorIndex('Student Details'!L38)=4,(J53/100)*2+(J54/100)*2,(J53/100)*3+(J54/100)*3)))</f>
        <v>#NAME?</v>
      </c>
      <c r="K55" s="108" t="e">
        <f ca="1">IF(ColorIndex('Student Details'!M38)&gt;5,"",IF(ColorIndex('Student Details'!M38)=5,(K53/100)*1+(K54/100)*1,IF(ColorIndex('Student Details'!M38)=4,(K53/100)*2+(K54/100)*2,(K53/100)*3+(K54/100)*3)))</f>
        <v>#NAME?</v>
      </c>
      <c r="L55" s="108" t="e">
        <f ca="1">IF(ColorIndex('Student Details'!N38)&gt;5,"",IF(ColorIndex('Student Details'!N38)=5,(L53/100)*1+(L54/100)*1,IF(ColorIndex('Student Details'!N38)=4,(L53/100)*2+(L54/100)*2,(L53/100)*3+(L54/100)*3)))</f>
        <v>#NAME?</v>
      </c>
      <c r="M55" s="108" t="e">
        <f ca="1">IF(ColorIndex('Student Details'!O38)&gt;5,"",IF(ColorIndex('Student Details'!O38)=5,(M53/100)*1+(M54/100)*1,IF(ColorIndex('Student Details'!O38)=4,(M53/100)*2+(M54/100)*2,(M53/100)*3+(M54/100)*3)))</f>
        <v>#NAME?</v>
      </c>
      <c r="N55" s="475"/>
      <c r="O55" s="475"/>
      <c r="P55" s="475"/>
      <c r="Q55" s="475"/>
      <c r="R55" s="20"/>
      <c r="S55" s="20"/>
      <c r="T55" s="20"/>
      <c r="U55" s="20"/>
      <c r="V55" s="39" t="e">
        <f ca="1">IFERROR(SUM(J55:P55)/COUNTIF(J55:P55,"&gt;0.0"),NA())</f>
        <v>#N/A</v>
      </c>
      <c r="W55" s="20"/>
      <c r="X55" s="20"/>
      <c r="Y55" s="20"/>
      <c r="Z55" s="20"/>
      <c r="AA55" s="20"/>
    </row>
    <row r="56" spans="1:27" ht="18.75" hidden="1" customHeight="1">
      <c r="A56" s="20"/>
      <c r="B56" s="20"/>
      <c r="C56" s="20"/>
      <c r="D56" s="190"/>
      <c r="E56" s="191"/>
      <c r="F56" s="119"/>
      <c r="G56" s="120"/>
      <c r="H56" s="120"/>
      <c r="I56" s="121"/>
      <c r="J56" s="108" t="e">
        <f ca="1">IF(ColorIndex('Student Details'!L38)&gt;5,0,IF(ColorIndex('Student Details'!L38)=5,1,IF(ColorIndex('Student Details'!L38)=4,2,3)))</f>
        <v>#NAME?</v>
      </c>
      <c r="K56" s="108" t="e">
        <f ca="1">IF(ColorIndex('Student Details'!M38)&gt;5,0,IF(ColorIndex('Student Details'!M38)=5,1,IF(ColorIndex('Student Details'!M38)=4,2,3)))</f>
        <v>#NAME?</v>
      </c>
      <c r="L56" s="108" t="e">
        <f ca="1">IF(ColorIndex('Student Details'!N38)&gt;5,0,IF(ColorIndex('Student Details'!N38)=5,1,IF(ColorIndex('Student Details'!N38)=4,2,3)))</f>
        <v>#NAME?</v>
      </c>
      <c r="M56" s="108" t="e">
        <f ca="1">IF(ColorIndex('Student Details'!O38)&gt;5,0,IF(ColorIndex('Student Details'!O38)=5,1,IF(ColorIndex('Student Details'!O38)=4,2,3)))</f>
        <v>#NAME?</v>
      </c>
      <c r="N56" s="193"/>
      <c r="O56" s="194"/>
      <c r="P56" s="193"/>
      <c r="Q56" s="194"/>
      <c r="R56" s="20"/>
      <c r="S56" s="20"/>
      <c r="T56" s="20"/>
      <c r="U56" s="20"/>
      <c r="V56" s="39"/>
      <c r="W56" s="20"/>
      <c r="X56" s="20"/>
      <c r="Y56" s="20"/>
      <c r="Z56" s="20"/>
      <c r="AA56" s="20"/>
    </row>
    <row r="57" spans="1:27" ht="18.75" customHeight="1">
      <c r="A57" s="20"/>
      <c r="B57" s="20"/>
      <c r="C57" s="20"/>
      <c r="D57" s="478" t="str">
        <f>'Student List'!$F$14</f>
        <v>C0.2</v>
      </c>
      <c r="E57" s="478"/>
      <c r="F57" s="479" t="s">
        <v>66</v>
      </c>
      <c r="G57" s="479"/>
      <c r="H57" s="38" t="s">
        <v>64</v>
      </c>
      <c r="I57" s="40">
        <f>$C$5</f>
        <v>43.822100789313907</v>
      </c>
      <c r="J57" s="53" t="e">
        <f ca="1">IF(ColorIndex('Student Details'!L39)=35,"",$I$16*$T$3)</f>
        <v>#NAME?</v>
      </c>
      <c r="K57" s="53" t="e">
        <f ca="1">IF(ColorIndex('Student Details'!M39)=35,"",$I$16*$T$3)</f>
        <v>#NAME?</v>
      </c>
      <c r="L57" s="53" t="e">
        <f ca="1">IF(ColorIndex('Student Details'!N39)=35,"",$I$16*$T$3)</f>
        <v>#NAME?</v>
      </c>
      <c r="M57" s="53" t="e">
        <f ca="1">IF(ColorIndex('Student Details'!O39)=35,"",$I$16*$T$3)</f>
        <v>#NAME?</v>
      </c>
      <c r="N57" s="475" t="e">
        <f ca="1">SUM((J57:M59))/COUNTIF(J57:M57,"&gt;0.0")</f>
        <v>#NAME?</v>
      </c>
      <c r="O57" s="475"/>
      <c r="P57" s="475" t="e">
        <f ca="1">IF(N57&gt;($Z$3*100),"Yes","No")</f>
        <v>#NAME?</v>
      </c>
      <c r="Q57" s="475"/>
      <c r="R57" s="20"/>
      <c r="S57" s="20"/>
      <c r="T57" s="20"/>
      <c r="U57" s="20"/>
      <c r="V57" s="39" t="e">
        <f ca="1">IFERROR(SUM(J57:P58)/COUNTIF(J57:P57,"&gt;0.0"),NA())</f>
        <v>#N/A</v>
      </c>
      <c r="W57" s="20"/>
      <c r="X57" s="20"/>
      <c r="Y57" s="20"/>
      <c r="Z57" s="20"/>
      <c r="AA57" s="20"/>
    </row>
    <row r="58" spans="1:27" ht="18.75" customHeight="1">
      <c r="A58" s="20"/>
      <c r="B58" s="20"/>
      <c r="C58" s="20"/>
      <c r="D58" s="478"/>
      <c r="E58" s="478"/>
      <c r="F58" s="479"/>
      <c r="G58" s="479"/>
      <c r="H58" s="38" t="s">
        <v>67</v>
      </c>
      <c r="I58" s="40">
        <f>$L$3</f>
        <v>96.721311475409834</v>
      </c>
      <c r="J58" s="53" t="e">
        <f ca="1">IF(ColorIndex('Student Details'!L$39)=35,"",$I$21*$T$4)</f>
        <v>#NAME?</v>
      </c>
      <c r="K58" s="53" t="e">
        <f ca="1">IF(ColorIndex('Student Details'!M$39)=35,"",$I$21*$T$4)</f>
        <v>#NAME?</v>
      </c>
      <c r="L58" s="53" t="e">
        <f ca="1">IF(ColorIndex('Student Details'!N$39)=35,"",$I$21*$T$4)</f>
        <v>#NAME?</v>
      </c>
      <c r="M58" s="53" t="e">
        <f ca="1">IF(ColorIndex('Student Details'!O$39)=35,"",$I$21*$T$4)</f>
        <v>#NAME?</v>
      </c>
      <c r="N58" s="475"/>
      <c r="O58" s="475"/>
      <c r="P58" s="475"/>
      <c r="Q58" s="475"/>
      <c r="R58" s="20"/>
      <c r="S58" s="20"/>
      <c r="T58" s="20"/>
      <c r="U58" s="20"/>
      <c r="V58" s="39" t="e">
        <f>NA()</f>
        <v>#N/A</v>
      </c>
      <c r="W58" s="20"/>
      <c r="X58" s="20"/>
      <c r="Y58" s="20"/>
      <c r="Z58" s="20"/>
      <c r="AA58" s="20"/>
    </row>
    <row r="59" spans="1:27" ht="18.75" customHeight="1">
      <c r="A59" s="20"/>
      <c r="B59" s="20"/>
      <c r="C59" s="20"/>
      <c r="D59" s="478"/>
      <c r="E59" s="478"/>
      <c r="F59" s="481" t="str">
        <f>D57 &amp; "     Attainment"</f>
        <v>C0.2     Attainment</v>
      </c>
      <c r="G59" s="482"/>
      <c r="H59" s="482"/>
      <c r="I59" s="483"/>
      <c r="J59" s="108" t="e">
        <f ca="1">IF(ColorIndex('Student Details'!L39)&gt;5,"",IF(ColorIndex('Student Details'!L39)=5,(J57/100)*1+(J58/100)*1,IF(ColorIndex('Student Details'!L39)=4,(J57/100)*2+(J58/100)*2,(J57/100)*3+(J58/100)*3)))</f>
        <v>#NAME?</v>
      </c>
      <c r="K59" s="108" t="e">
        <f ca="1">IF(ColorIndex('Student Details'!M39)&gt;5,"",IF(ColorIndex('Student Details'!M39)=5,(K57/100)*1+(K58/100)*1,IF(ColorIndex('Student Details'!M39)=4,(K57/100)*2+(K58/100)*2,(K57/100)*3+(K58/100)*3)))</f>
        <v>#NAME?</v>
      </c>
      <c r="L59" s="108" t="e">
        <f ca="1">IF(ColorIndex('Student Details'!N39)&gt;5,"",IF(ColorIndex('Student Details'!N39)=5,(L57/100)*1+(L58/100)*1,IF(ColorIndex('Student Details'!N39)=4,(L57/100)*2+(L58/100)*2,(L57/100)*3+(L58/100)*3)))</f>
        <v>#NAME?</v>
      </c>
      <c r="M59" s="108" t="e">
        <f ca="1">IF(ColorIndex('Student Details'!O39)&gt;5,"",IF(ColorIndex('Student Details'!O39)=5,(M57/100)*1+(M58/100)*1,IF(ColorIndex('Student Details'!O39)=4,(M57/100)*2+(M58/100)*2,(M57/100)*3+(M58/100)*3)))</f>
        <v>#NAME?</v>
      </c>
      <c r="N59" s="475"/>
      <c r="O59" s="475"/>
      <c r="P59" s="475"/>
      <c r="Q59" s="475"/>
      <c r="R59" s="20"/>
      <c r="S59" s="20"/>
      <c r="T59" s="20"/>
      <c r="U59" s="20"/>
      <c r="V59" s="39" t="e">
        <f ca="1">IFERROR(SUM(J59:P59)/COUNTIF(J59:P59,"&gt;0.0"),NA())</f>
        <v>#N/A</v>
      </c>
      <c r="W59" s="20"/>
      <c r="X59" s="20"/>
      <c r="Y59" s="20"/>
      <c r="Z59" s="20"/>
      <c r="AA59" s="20"/>
    </row>
    <row r="60" spans="1:27" ht="18.75" hidden="1" customHeight="1">
      <c r="A60" s="20"/>
      <c r="B60" s="20"/>
      <c r="C60" s="20"/>
      <c r="D60" s="190"/>
      <c r="E60" s="191"/>
      <c r="F60" s="119"/>
      <c r="G60" s="120"/>
      <c r="H60" s="120"/>
      <c r="I60" s="121"/>
      <c r="J60" s="108" t="e">
        <f ca="1">IF(ColorIndex('Student Details'!L39)&gt;5,0,IF(ColorIndex('Student Details'!L39)=5,1,IF(ColorIndex('Student Details'!L39)=4,2,3)))</f>
        <v>#NAME?</v>
      </c>
      <c r="K60" s="108" t="e">
        <f ca="1">IF(ColorIndex('Student Details'!M39)&gt;5,0,IF(ColorIndex('Student Details'!M39)=5,1,IF(ColorIndex('Student Details'!M39)=4,2,3)))</f>
        <v>#NAME?</v>
      </c>
      <c r="L60" s="108" t="e">
        <f ca="1">IF(ColorIndex('Student Details'!N39)&gt;5,0,IF(ColorIndex('Student Details'!N39)=5,1,IF(ColorIndex('Student Details'!N39)=4,2,3)))</f>
        <v>#NAME?</v>
      </c>
      <c r="M60" s="108" t="e">
        <f ca="1">IF(ColorIndex('Student Details'!O39)&gt;5,0,IF(ColorIndex('Student Details'!O39)=5,1,IF(ColorIndex('Student Details'!O39)=4,2,3)))</f>
        <v>#NAME?</v>
      </c>
      <c r="N60" s="193"/>
      <c r="O60" s="194"/>
      <c r="P60" s="193"/>
      <c r="Q60" s="194"/>
      <c r="R60" s="20"/>
      <c r="S60" s="20"/>
      <c r="T60" s="20"/>
      <c r="U60" s="20"/>
      <c r="V60" s="39"/>
      <c r="W60" s="20"/>
      <c r="X60" s="20"/>
      <c r="Y60" s="20"/>
      <c r="Z60" s="20"/>
      <c r="AA60" s="20"/>
    </row>
    <row r="61" spans="1:27" ht="18.75" customHeight="1">
      <c r="A61" s="20"/>
      <c r="B61" s="20"/>
      <c r="C61" s="20"/>
      <c r="D61" s="478" t="str">
        <f>'Student List'!$F$16</f>
        <v>C0.3</v>
      </c>
      <c r="E61" s="478"/>
      <c r="F61" s="479" t="s">
        <v>66</v>
      </c>
      <c r="G61" s="479"/>
      <c r="H61" s="38" t="s">
        <v>64</v>
      </c>
      <c r="I61" s="40">
        <f>$C$6</f>
        <v>71.136363636363626</v>
      </c>
      <c r="J61" s="53" t="e">
        <f ca="1">IF(ColorIndex('Student Details'!L$40)=35,"",$I$24*$T$3)</f>
        <v>#NAME?</v>
      </c>
      <c r="K61" s="53" t="e">
        <f ca="1">IF(ColorIndex('Student Details'!M$40)=35,"",$I$24*$T$3)</f>
        <v>#NAME?</v>
      </c>
      <c r="L61" s="53" t="e">
        <f ca="1">IF(ColorIndex('Student Details'!N$40)=35,"",$I$24*$T$3)</f>
        <v>#NAME?</v>
      </c>
      <c r="M61" s="53" t="e">
        <f ca="1">IF(ColorIndex('Student Details'!O$40)=35,"",$I$24*$T$3)</f>
        <v>#NAME?</v>
      </c>
      <c r="N61" s="475" t="e">
        <f ca="1">(SUMIF(J63:M63,"&gt;0.0")/SUMIF(J64:M64,"&gt;0.0"))*100</f>
        <v>#DIV/0!</v>
      </c>
      <c r="O61" s="475"/>
      <c r="P61" s="475" t="e">
        <f ca="1">IF(N61&gt;($Z$3*100),"Yes","No")</f>
        <v>#DIV/0!</v>
      </c>
      <c r="Q61" s="475"/>
      <c r="R61" s="20"/>
      <c r="S61" s="20"/>
      <c r="T61" s="20"/>
      <c r="U61" s="20"/>
      <c r="V61" s="39" t="e">
        <f ca="1">IFERROR(SUM(J61:P62)/COUNTIF(J61:P61,"&gt;0.0"),NA())</f>
        <v>#N/A</v>
      </c>
      <c r="W61" s="20"/>
      <c r="X61" s="20"/>
      <c r="Y61" s="20"/>
      <c r="Z61" s="20"/>
      <c r="AA61" s="20"/>
    </row>
    <row r="62" spans="1:27" ht="18.75" customHeight="1">
      <c r="A62" s="20"/>
      <c r="B62" s="20"/>
      <c r="C62" s="20"/>
      <c r="D62" s="478"/>
      <c r="E62" s="478"/>
      <c r="F62" s="479"/>
      <c r="G62" s="479"/>
      <c r="H62" s="38" t="s">
        <v>67</v>
      </c>
      <c r="I62" s="40">
        <f>$L$3</f>
        <v>96.721311475409834</v>
      </c>
      <c r="J62" s="53" t="e">
        <f ca="1">IF(ColorIndex('Student Details'!L$40)=35,"",$I$25*$T$4)</f>
        <v>#NAME?</v>
      </c>
      <c r="K62" s="53" t="e">
        <f ca="1">IF(ColorIndex('Student Details'!M$40)=35,"",$I$25*$T$4)</f>
        <v>#NAME?</v>
      </c>
      <c r="L62" s="53" t="e">
        <f ca="1">IF(ColorIndex('Student Details'!N$40)=35,"",$I$25*$T$4)</f>
        <v>#NAME?</v>
      </c>
      <c r="M62" s="53" t="e">
        <f ca="1">IF(ColorIndex('Student Details'!O$40)=35,"",$I$25*$T$4)</f>
        <v>#NAME?</v>
      </c>
      <c r="N62" s="475"/>
      <c r="O62" s="475"/>
      <c r="P62" s="475"/>
      <c r="Q62" s="475"/>
      <c r="R62" s="20"/>
      <c r="S62" s="20"/>
      <c r="T62" s="20"/>
      <c r="U62" s="20"/>
      <c r="V62" s="39" t="e">
        <f>NA()</f>
        <v>#N/A</v>
      </c>
      <c r="W62" s="20"/>
      <c r="X62" s="20"/>
      <c r="Y62" s="20"/>
      <c r="Z62" s="20"/>
      <c r="AA62" s="20"/>
    </row>
    <row r="63" spans="1:27" ht="18.75" customHeight="1">
      <c r="A63" s="20"/>
      <c r="B63" s="20"/>
      <c r="C63" s="20"/>
      <c r="D63" s="478"/>
      <c r="E63" s="478"/>
      <c r="F63" s="481" t="str">
        <f>D61 &amp; "     Attainment"</f>
        <v>C0.3     Attainment</v>
      </c>
      <c r="G63" s="482"/>
      <c r="H63" s="482"/>
      <c r="I63" s="483"/>
      <c r="J63" s="108" t="e">
        <f ca="1">IF(ColorIndex('Student Details'!L40)&gt;5,"",IF(ColorIndex('Student Details'!L40)=5,(J61/100)*1+(J62/100)*1,IF(ColorIndex('Student Details'!L40)=4,(J61/100)*2+(J62/100)*2,(J61/100)*3+(J62/100)*3)))</f>
        <v>#NAME?</v>
      </c>
      <c r="K63" s="108" t="e">
        <f ca="1">IF(ColorIndex('Student Details'!M40)&gt;5,"",IF(ColorIndex('Student Details'!M40)=5,(K61/100)*1+(K62/100)*1,IF(ColorIndex('Student Details'!M40)=4,(K61/100)*2+(K62/100)*2,(K61/100)*3+(K62/100)*3)))</f>
        <v>#NAME?</v>
      </c>
      <c r="L63" s="108" t="e">
        <f ca="1">IF(ColorIndex('Student Details'!N40)&gt;5,"",IF(ColorIndex('Student Details'!N40)=5,(L61/100)*1+(L62/100)*1,IF(ColorIndex('Student Details'!N40)=4,(L61/100)*2+(L62/100)*2,(L61/100)*3+(L62/100)*3)))</f>
        <v>#NAME?</v>
      </c>
      <c r="M63" s="108" t="e">
        <f ca="1">IF(ColorIndex('Student Details'!O40)&gt;5,"",IF(ColorIndex('Student Details'!O40)=5,(M61/100)*1+(M62/100)*1,IF(ColorIndex('Student Details'!O40)=4,(M61/100)*2+(M62/100)*2,(M61/100)*3+(M62/100)*3)))</f>
        <v>#NAME?</v>
      </c>
      <c r="N63" s="475"/>
      <c r="O63" s="475"/>
      <c r="P63" s="475"/>
      <c r="Q63" s="475"/>
      <c r="R63" s="20"/>
      <c r="S63" s="20"/>
      <c r="T63" s="20"/>
      <c r="U63" s="20"/>
      <c r="V63" s="39">
        <f ca="1">IFERROR(SUM(J63:P63)/COUNTIF(J63:P63,"&gt;0.0"),0)</f>
        <v>0</v>
      </c>
      <c r="W63" s="20"/>
      <c r="X63" s="20"/>
      <c r="Y63" s="20"/>
      <c r="Z63" s="20"/>
      <c r="AA63" s="20"/>
    </row>
    <row r="64" spans="1:27" ht="18.75" hidden="1" customHeight="1">
      <c r="A64" s="20"/>
      <c r="B64" s="20"/>
      <c r="C64" s="20"/>
      <c r="D64" s="203"/>
      <c r="E64" s="203"/>
      <c r="F64" s="119"/>
      <c r="G64" s="120"/>
      <c r="H64" s="120"/>
      <c r="I64" s="121"/>
      <c r="J64" s="108" t="e">
        <f ca="1">IF(ColorIndex('Student Details'!L40)&gt;5,0,IF(ColorIndex('Student Details'!L40)=5,1,IF(ColorIndex('Student Details'!L40)=4,2,3)))</f>
        <v>#NAME?</v>
      </c>
      <c r="K64" s="108" t="e">
        <f ca="1">IF(ColorIndex('Student Details'!M40)&gt;5,0,IF(ColorIndex('Student Details'!M40)=5,1,IF(ColorIndex('Student Details'!M40)=4,2,3)))</f>
        <v>#NAME?</v>
      </c>
      <c r="L64" s="108" t="e">
        <f ca="1">IF(ColorIndex('Student Details'!N40)&gt;5,0,IF(ColorIndex('Student Details'!N40)=5,1,IF(ColorIndex('Student Details'!N40)=4,2,3)))</f>
        <v>#NAME?</v>
      </c>
      <c r="M64" s="108" t="e">
        <f ca="1">IF(ColorIndex('Student Details'!O40)&gt;5,0,IF(ColorIndex('Student Details'!O40)=5,1,IF(ColorIndex('Student Details'!O40)=4,2,3)))</f>
        <v>#NAME?</v>
      </c>
      <c r="N64" s="193"/>
      <c r="O64" s="194"/>
      <c r="P64" s="193"/>
      <c r="Q64" s="194"/>
      <c r="R64" s="20"/>
      <c r="S64" s="20"/>
      <c r="T64" s="20"/>
      <c r="U64" s="20"/>
      <c r="V64" s="39"/>
      <c r="W64" s="20"/>
      <c r="X64" s="20"/>
      <c r="Y64" s="20"/>
      <c r="Z64" s="20"/>
      <c r="AA64" s="20"/>
    </row>
    <row r="65" spans="1:27" ht="18.75" customHeight="1">
      <c r="A65" s="20"/>
      <c r="B65" s="20"/>
      <c r="C65" s="20"/>
      <c r="D65" s="478" t="str">
        <f>'Student List'!$F$18</f>
        <v>C0.4</v>
      </c>
      <c r="E65" s="478"/>
      <c r="F65" s="479" t="s">
        <v>66</v>
      </c>
      <c r="G65" s="479"/>
      <c r="H65" s="38" t="s">
        <v>64</v>
      </c>
      <c r="I65" s="40">
        <f>$C$7</f>
        <v>66.101694915254242</v>
      </c>
      <c r="J65" s="53" t="e">
        <f ca="1">IF(ColorIndex('Student Details'!L$41)=35,"",$I$28*$T$3)</f>
        <v>#NAME?</v>
      </c>
      <c r="K65" s="53" t="e">
        <f ca="1">IF(ColorIndex('Student Details'!M$41)=35,"",$I$28*$T$3)</f>
        <v>#NAME?</v>
      </c>
      <c r="L65" s="53" t="e">
        <f ca="1">IF(ColorIndex('Student Details'!N$41)=35,"",$I$28*$T$3)</f>
        <v>#NAME?</v>
      </c>
      <c r="M65" s="53" t="e">
        <f ca="1">IF(ColorIndex('Student Details'!O$41)=35,"",$I$28*$T$3)</f>
        <v>#NAME?</v>
      </c>
      <c r="N65" s="475" t="e">
        <f ca="1">(SUMIF(J67:M67,"&gt;0.0")/SUMIF(J68:M68,"&gt;0.0"))*100</f>
        <v>#DIV/0!</v>
      </c>
      <c r="O65" s="475"/>
      <c r="P65" s="475" t="e">
        <f ca="1">IF(N65&gt;($Z$3*100),"Yes","No")</f>
        <v>#DIV/0!</v>
      </c>
      <c r="Q65" s="475"/>
      <c r="R65" s="20"/>
      <c r="S65" s="20"/>
      <c r="T65" s="20"/>
      <c r="U65" s="20"/>
      <c r="V65" s="39" t="e">
        <f ca="1">IFERROR(SUM(J65:P66)/COUNTIF(J65:P65,"&gt;0.0"),NA())</f>
        <v>#N/A</v>
      </c>
      <c r="W65" s="20"/>
      <c r="X65" s="20"/>
      <c r="Y65" s="20"/>
      <c r="Z65" s="20"/>
      <c r="AA65" s="20"/>
    </row>
    <row r="66" spans="1:27" ht="18.75" customHeight="1">
      <c r="A66" s="20"/>
      <c r="B66" s="20"/>
      <c r="C66" s="20"/>
      <c r="D66" s="478"/>
      <c r="E66" s="478"/>
      <c r="F66" s="479"/>
      <c r="G66" s="479"/>
      <c r="H66" s="38" t="s">
        <v>67</v>
      </c>
      <c r="I66" s="40">
        <f>$L$3</f>
        <v>96.721311475409834</v>
      </c>
      <c r="J66" s="53" t="e">
        <f ca="1">IF(ColorIndex('Student Details'!L$41)=35,"",$I$29*$T$4)</f>
        <v>#NAME?</v>
      </c>
      <c r="K66" s="53" t="e">
        <f ca="1">IF(ColorIndex('Student Details'!M$41)=35,"",$I$29*$T$4)</f>
        <v>#NAME?</v>
      </c>
      <c r="L66" s="53" t="e">
        <f ca="1">IF(ColorIndex('Student Details'!N$41)=35,"",$I$29*$T$4)</f>
        <v>#NAME?</v>
      </c>
      <c r="M66" s="53" t="e">
        <f ca="1">IF(ColorIndex('Student Details'!O$41)=35,"",$I$29*$T$4)</f>
        <v>#NAME?</v>
      </c>
      <c r="N66" s="475"/>
      <c r="O66" s="475"/>
      <c r="P66" s="475"/>
      <c r="Q66" s="475"/>
      <c r="R66" s="20"/>
      <c r="S66" s="20"/>
      <c r="T66" s="20"/>
      <c r="U66" s="20"/>
      <c r="V66" s="39" t="e">
        <f>NA()</f>
        <v>#N/A</v>
      </c>
      <c r="W66" s="20"/>
      <c r="X66" s="20"/>
      <c r="Y66" s="20"/>
      <c r="Z66" s="20"/>
      <c r="AA66" s="20"/>
    </row>
    <row r="67" spans="1:27" ht="18.75" customHeight="1">
      <c r="A67" s="20"/>
      <c r="B67" s="20"/>
      <c r="C67" s="20"/>
      <c r="D67" s="478"/>
      <c r="E67" s="478"/>
      <c r="F67" s="481" t="str">
        <f>D65 &amp; "     Attainment"</f>
        <v>C0.4     Attainment</v>
      </c>
      <c r="G67" s="482"/>
      <c r="H67" s="482"/>
      <c r="I67" s="483"/>
      <c r="J67" s="108" t="e">
        <f ca="1">IF(ColorIndex('Student Details'!L41)&gt;5,"",IF(ColorIndex('Student Details'!L41)=5,(J65/100)*1+(J66/100)*1,IF(ColorIndex('Student Details'!L41)=4,(J65/100)*2+(J66/100)*2,(J65/100)*3+(J66/100)*3)))</f>
        <v>#NAME?</v>
      </c>
      <c r="K67" s="108" t="e">
        <f ca="1">IF(ColorIndex('Student Details'!M41)&gt;5,"",IF(ColorIndex('Student Details'!M41)=5,(K65/100)*1+(K66/100)*1,IF(ColorIndex('Student Details'!M41)=4,(K65/100)*2+(K66/100)*2,(K65/100)*3+(K66/100)*3)))</f>
        <v>#NAME?</v>
      </c>
      <c r="L67" s="108" t="e">
        <f ca="1">IF(ColorIndex('Student Details'!N41)&gt;5,"",IF(ColorIndex('Student Details'!N41)=5,(L65/100)*1+(L66/100)*1,IF(ColorIndex('Student Details'!N41)=4,(L65/100)*2+(L66/100)*2,(L65/100)*3+(L66/100)*3)))</f>
        <v>#NAME?</v>
      </c>
      <c r="M67" s="108" t="e">
        <f ca="1">IF(ColorIndex('Student Details'!O41)&gt;5,"",IF(ColorIndex('Student Details'!O41)=5,(M65/100)*1+(M66/100)*1,IF(ColorIndex('Student Details'!O41)=4,(M65/100)*2+(M66/100)*2,(M65/100)*3+(M66/100)*3)))</f>
        <v>#NAME?</v>
      </c>
      <c r="N67" s="475"/>
      <c r="O67" s="475"/>
      <c r="P67" s="475"/>
      <c r="Q67" s="475"/>
      <c r="R67" s="20"/>
      <c r="S67" s="20"/>
      <c r="T67" s="20"/>
      <c r="U67" s="20"/>
      <c r="V67" s="39" t="e">
        <f ca="1">IFERROR(SUM(J67:P67)/COUNTIF(J67:P67,"&gt;0.0"),NA())</f>
        <v>#N/A</v>
      </c>
      <c r="W67" s="20"/>
      <c r="X67" s="20"/>
      <c r="Y67" s="20"/>
      <c r="Z67" s="20"/>
      <c r="AA67" s="20"/>
    </row>
    <row r="68" spans="1:27" ht="18.75" hidden="1" customHeight="1">
      <c r="A68" s="20"/>
      <c r="B68" s="20"/>
      <c r="C68" s="20"/>
      <c r="D68" s="476"/>
      <c r="E68" s="477"/>
      <c r="F68" s="119"/>
      <c r="G68" s="120"/>
      <c r="H68" s="120"/>
      <c r="I68" s="121"/>
      <c r="J68" s="108" t="e">
        <f ca="1">IF(ColorIndex('Student Details'!L41)&gt;5,0,IF(ColorIndex('Student Details'!L41)=5,1,IF(ColorIndex('Student Details'!L41)=4,2,3)))</f>
        <v>#NAME?</v>
      </c>
      <c r="K68" s="108" t="e">
        <f ca="1">IF(ColorIndex('Student Details'!M41)&gt;5,0,IF(ColorIndex('Student Details'!M41)=5,1,IF(ColorIndex('Student Details'!M41)=4,2,3)))</f>
        <v>#NAME?</v>
      </c>
      <c r="L68" s="108" t="e">
        <f ca="1">IF(ColorIndex('Student Details'!N41)&gt;5,0,IF(ColorIndex('Student Details'!N41)=5,1,IF(ColorIndex('Student Details'!N41)=4,2,3)))</f>
        <v>#NAME?</v>
      </c>
      <c r="M68" s="108" t="e">
        <f ca="1">IF(ColorIndex('Student Details'!O41)&gt;5,0,IF(ColorIndex('Student Details'!O41)=5,1,IF(ColorIndex('Student Details'!O41)=4,2,3)))</f>
        <v>#NAME?</v>
      </c>
      <c r="N68" s="193"/>
      <c r="O68" s="194"/>
      <c r="P68" s="193"/>
      <c r="Q68" s="194"/>
      <c r="R68" s="20"/>
      <c r="S68" s="20"/>
      <c r="T68" s="20"/>
      <c r="U68" s="20"/>
      <c r="V68" s="39"/>
      <c r="W68" s="20"/>
      <c r="X68" s="20"/>
      <c r="Y68" s="20"/>
      <c r="Z68" s="20"/>
      <c r="AA68" s="20"/>
    </row>
    <row r="69" spans="1:27" ht="18.75" customHeight="1">
      <c r="A69" s="20"/>
      <c r="B69" s="20"/>
      <c r="C69" s="20"/>
      <c r="D69" s="478" t="str">
        <f>'Student List'!$F$20</f>
        <v>C0.5</v>
      </c>
      <c r="E69" s="478"/>
      <c r="F69" s="479" t="s">
        <v>66</v>
      </c>
      <c r="G69" s="479"/>
      <c r="H69" s="38" t="s">
        <v>64</v>
      </c>
      <c r="I69" s="40">
        <f>$C$8</f>
        <v>69.090909090909093</v>
      </c>
      <c r="J69" s="39" t="e">
        <f ca="1">IF(ColorIndex('Student Details'!L$42)=35,"",$I$32*$T$3)</f>
        <v>#NAME?</v>
      </c>
      <c r="K69" s="39" t="e">
        <f ca="1">IF(ColorIndex('Student Details'!M$42)=35,"",$I$32*$T$3)</f>
        <v>#NAME?</v>
      </c>
      <c r="L69" s="39" t="e">
        <f ca="1">IF(ColorIndex('Student Details'!N$42)=35,"",$I$32*$T$3)</f>
        <v>#NAME?</v>
      </c>
      <c r="M69" s="39" t="e">
        <f ca="1">IF(ColorIndex('Student Details'!O$42)=35,"",$I$32*$T$3)</f>
        <v>#NAME?</v>
      </c>
      <c r="N69" s="475" t="e">
        <f ca="1">(SUMIF(J71:M71,"&gt;0.0")/SUMIF(J72:M72,"&gt;0.0"))*100</f>
        <v>#DIV/0!</v>
      </c>
      <c r="O69" s="475"/>
      <c r="P69" s="475" t="e">
        <f ca="1">IF(N69&gt;($Z$3*100),"Yes","No")</f>
        <v>#DIV/0!</v>
      </c>
      <c r="Q69" s="475"/>
      <c r="R69" s="20"/>
      <c r="S69" s="20"/>
      <c r="T69" s="20"/>
      <c r="U69" s="20"/>
      <c r="V69" s="39" t="e">
        <f ca="1">IFERROR(SUM(J69:P70)/COUNTIF(J69:P69,"&gt;0.0"),NA())</f>
        <v>#N/A</v>
      </c>
      <c r="W69" s="20"/>
      <c r="X69" s="20"/>
      <c r="Y69" s="20"/>
      <c r="Z69" s="20"/>
      <c r="AA69" s="20"/>
    </row>
    <row r="70" spans="1:27" ht="18.75" customHeight="1">
      <c r="A70" s="20"/>
      <c r="B70" s="20"/>
      <c r="C70" s="20"/>
      <c r="D70" s="478"/>
      <c r="E70" s="478"/>
      <c r="F70" s="479"/>
      <c r="G70" s="479"/>
      <c r="H70" s="38" t="s">
        <v>67</v>
      </c>
      <c r="I70" s="40">
        <f>$L$3</f>
        <v>96.721311475409834</v>
      </c>
      <c r="J70" s="39" t="e">
        <f ca="1">IF(ColorIndex('Student Details'!L$42)=35,"",$I$33*$T$4)</f>
        <v>#NAME?</v>
      </c>
      <c r="K70" s="39" t="e">
        <f ca="1">IF(ColorIndex('Student Details'!M$42)=35,"",$I$33*$T$4)</f>
        <v>#NAME?</v>
      </c>
      <c r="L70" s="39" t="e">
        <f ca="1">IF(ColorIndex('Student Details'!N$42)=35,"",$I$33*$T$4)</f>
        <v>#NAME?</v>
      </c>
      <c r="M70" s="39" t="e">
        <f ca="1">IF(ColorIndex('Student Details'!O$42)=35,"",$I$33*$T$4)</f>
        <v>#NAME?</v>
      </c>
      <c r="N70" s="475"/>
      <c r="O70" s="475"/>
      <c r="P70" s="475"/>
      <c r="Q70" s="475"/>
      <c r="R70" s="20"/>
      <c r="S70" s="20"/>
      <c r="T70" s="20"/>
      <c r="U70" s="20"/>
      <c r="V70" s="39" t="e">
        <f>NA()</f>
        <v>#N/A</v>
      </c>
      <c r="W70" s="20"/>
      <c r="X70" s="20"/>
      <c r="Y70" s="20"/>
      <c r="Z70" s="20"/>
      <c r="AA70" s="20"/>
    </row>
    <row r="71" spans="1:27" ht="18.75" customHeight="1">
      <c r="A71" s="20"/>
      <c r="B71" s="20"/>
      <c r="C71" s="20"/>
      <c r="D71" s="478"/>
      <c r="E71" s="478"/>
      <c r="F71" s="481" t="str">
        <f>D69 &amp; "     Attainment"</f>
        <v>C0.5     Attainment</v>
      </c>
      <c r="G71" s="482"/>
      <c r="H71" s="482"/>
      <c r="I71" s="483"/>
      <c r="J71" s="108" t="e">
        <f ca="1">IF(ColorIndex('Student Details'!L42)&gt;5,"",IF(ColorIndex('Student Details'!L42)=5,(J69/100)*1+(J70/100)*1,IF(ColorIndex('Student Details'!L42)=4,(J69/100)*2+(J70/100)*2,(J69/100)*3+(J70/100)*3)))</f>
        <v>#NAME?</v>
      </c>
      <c r="K71" s="108" t="e">
        <f ca="1">IF(ColorIndex('Student Details'!M42)&gt;5,"",IF(ColorIndex('Student Details'!M42)=5,(K69/100)*1+(K70/100)*1,IF(ColorIndex('Student Details'!M42)=4,(K69/100)*2+(K70/100)*2,(K69/100)*3+(K70/100)*3)))</f>
        <v>#NAME?</v>
      </c>
      <c r="L71" s="108" t="e">
        <f ca="1">IF(ColorIndex('Student Details'!N42)&gt;5,"",IF(ColorIndex('Student Details'!N42)=5,(L69/100)*1+(L70/100)*1,IF(ColorIndex('Student Details'!N42)=4,(L69/100)*2+(L70/100)*2,(L69/100)*3+(L70/100)*3)))</f>
        <v>#NAME?</v>
      </c>
      <c r="M71" s="108" t="e">
        <f ca="1">IF(ColorIndex('Student Details'!O42)&gt;5,"",IF(ColorIndex('Student Details'!O42)=5,(M69/100)*1+(M70/100)*1,IF(ColorIndex('Student Details'!O42)=4,(M69/100)*2+(M70/100)*2,(M69/100)*3+(M70/100)*3)))</f>
        <v>#NAME?</v>
      </c>
      <c r="N71" s="475"/>
      <c r="O71" s="475"/>
      <c r="P71" s="475"/>
      <c r="Q71" s="475"/>
      <c r="R71" s="20"/>
      <c r="S71" s="20"/>
      <c r="T71" s="20"/>
      <c r="U71" s="20"/>
      <c r="V71" s="39" t="e">
        <f ca="1">IFERROR(SUM(J71:P71)/COUNTIF(J71:P71,"&gt;0.0"),NA())</f>
        <v>#N/A</v>
      </c>
      <c r="W71" s="20"/>
      <c r="X71" s="20"/>
      <c r="Y71" s="20"/>
      <c r="Z71" s="20"/>
      <c r="AA71" s="20"/>
    </row>
    <row r="72" spans="1:27" ht="18.75" hidden="1" customHeight="1">
      <c r="A72" s="20"/>
      <c r="B72" s="20"/>
      <c r="C72" s="20"/>
      <c r="D72" s="203"/>
      <c r="E72" s="203"/>
      <c r="F72" s="119"/>
      <c r="G72" s="120"/>
      <c r="H72" s="120"/>
      <c r="I72" s="121"/>
      <c r="J72" s="108" t="e">
        <f ca="1">IF(ColorIndex('Student Details'!L42)&gt;5,0,IF(ColorIndex('Student Details'!L42)=5,1,IF(ColorIndex('Student Details'!L42)=4,2,3)))</f>
        <v>#NAME?</v>
      </c>
      <c r="K72" s="108" t="e">
        <f ca="1">IF(ColorIndex('Student Details'!M42)&gt;5,0,IF(ColorIndex('Student Details'!M42)=5,1,IF(ColorIndex('Student Details'!M42)=4,2,3)))</f>
        <v>#NAME?</v>
      </c>
      <c r="L72" s="108" t="e">
        <f ca="1">IF(ColorIndex('Student Details'!N42)&gt;5,0,IF(ColorIndex('Student Details'!N42)=5,1,IF(ColorIndex('Student Details'!N42)=4,2,3)))</f>
        <v>#NAME?</v>
      </c>
      <c r="M72" s="108" t="e">
        <f ca="1">IF(ColorIndex('Student Details'!O42)&gt;5,0,IF(ColorIndex('Student Details'!O42)=5,1,IF(ColorIndex('Student Details'!O42)=4,2,3)))</f>
        <v>#NAME?</v>
      </c>
      <c r="N72" s="193"/>
      <c r="O72" s="194"/>
      <c r="P72" s="193"/>
      <c r="Q72" s="194"/>
      <c r="R72" s="20"/>
      <c r="S72" s="20"/>
      <c r="T72" s="20"/>
      <c r="U72" s="20"/>
      <c r="V72" s="39"/>
      <c r="W72" s="20"/>
      <c r="X72" s="20"/>
      <c r="Y72" s="20"/>
      <c r="Z72" s="20"/>
      <c r="AA72" s="20"/>
    </row>
    <row r="73" spans="1:27" ht="18.75" hidden="1" customHeight="1">
      <c r="A73" s="20"/>
      <c r="B73" s="20"/>
      <c r="C73" s="20"/>
      <c r="D73" s="478" t="str">
        <f>'Student List'!$F$22</f>
        <v>C0.6</v>
      </c>
      <c r="E73" s="478"/>
      <c r="F73" s="479" t="s">
        <v>66</v>
      </c>
      <c r="G73" s="479"/>
      <c r="H73" s="38" t="s">
        <v>64</v>
      </c>
      <c r="I73" s="40">
        <f>$C$9</f>
        <v>0</v>
      </c>
      <c r="J73" s="39" t="e">
        <f ca="1">IF(ColorIndex('Student Details'!L$43)=35,"",$I$36*$T$3)</f>
        <v>#NAME?</v>
      </c>
      <c r="K73" s="39" t="e">
        <f ca="1">IF(ColorIndex('Student Details'!M$43)=35,"",$I$36*$T$3)</f>
        <v>#NAME?</v>
      </c>
      <c r="L73" s="39" t="e">
        <f ca="1">IF(ColorIndex('Student Details'!N$43)=35,"",$I$36*$T$3)</f>
        <v>#NAME?</v>
      </c>
      <c r="M73" s="39" t="e">
        <f ca="1">IF(ColorIndex('Student Details'!O$43)=35,"",$I$36*$T$3)</f>
        <v>#NAME?</v>
      </c>
      <c r="N73" s="475" t="e">
        <f ca="1">(SUMIF(J75:M75,"&gt;0.0")/SUMIF(J76:M76,"&gt;0.0"))*100</f>
        <v>#DIV/0!</v>
      </c>
      <c r="O73" s="475"/>
      <c r="P73" s="475" t="e">
        <f ca="1">IF(N73&gt;($Z$3*100),"Yes","No")</f>
        <v>#DIV/0!</v>
      </c>
      <c r="Q73" s="475"/>
      <c r="R73" s="20"/>
      <c r="S73" s="20"/>
      <c r="T73" s="20"/>
      <c r="U73" s="20"/>
      <c r="V73" s="39" t="e">
        <f ca="1">IFERROR(SUM(J73:P74)/COUNTIF(J73:P73,"&gt;0.0"),NA())</f>
        <v>#N/A</v>
      </c>
      <c r="W73" s="20"/>
      <c r="X73" s="20"/>
      <c r="Y73" s="20"/>
      <c r="Z73" s="20"/>
      <c r="AA73" s="20"/>
    </row>
    <row r="74" spans="1:27" ht="18.75" hidden="1" customHeight="1">
      <c r="A74" s="20"/>
      <c r="B74" s="20"/>
      <c r="C74" s="20"/>
      <c r="D74" s="478"/>
      <c r="E74" s="478"/>
      <c r="F74" s="479"/>
      <c r="G74" s="479"/>
      <c r="H74" s="38" t="s">
        <v>67</v>
      </c>
      <c r="I74" s="40">
        <f>$L$3</f>
        <v>96.721311475409834</v>
      </c>
      <c r="J74" s="39" t="e">
        <f ca="1">IF(ColorIndex('Student Details'!L$43)=35,"",$I$37*$T$4)</f>
        <v>#NAME?</v>
      </c>
      <c r="K74" s="39" t="e">
        <f ca="1">IF(ColorIndex('Student Details'!M$43)=35,"",$I$37*$T$4)</f>
        <v>#NAME?</v>
      </c>
      <c r="L74" s="39" t="e">
        <f ca="1">IF(ColorIndex('Student Details'!N$43)=35,"",$I$37*$T$4)</f>
        <v>#NAME?</v>
      </c>
      <c r="M74" s="39" t="e">
        <f ca="1">IF(ColorIndex('Student Details'!O$43)=35,"",$I$37*$T$4)</f>
        <v>#NAME?</v>
      </c>
      <c r="N74" s="475"/>
      <c r="O74" s="475"/>
      <c r="P74" s="475"/>
      <c r="Q74" s="475"/>
      <c r="R74" s="20"/>
      <c r="S74" s="20"/>
      <c r="T74" s="20"/>
      <c r="U74" s="20"/>
      <c r="V74" s="39" t="e">
        <f>NA()</f>
        <v>#N/A</v>
      </c>
      <c r="W74" s="20"/>
      <c r="X74" s="20"/>
      <c r="Y74" s="20"/>
      <c r="Z74" s="20"/>
      <c r="AA74" s="20"/>
    </row>
    <row r="75" spans="1:27" ht="18.75" hidden="1" customHeight="1">
      <c r="A75" s="20"/>
      <c r="B75" s="20"/>
      <c r="C75" s="20"/>
      <c r="D75" s="478"/>
      <c r="E75" s="478"/>
      <c r="F75" s="481" t="str">
        <f>D73 &amp; "     Attainment"</f>
        <v>C0.6     Attainment</v>
      </c>
      <c r="G75" s="482"/>
      <c r="H75" s="482"/>
      <c r="I75" s="483"/>
      <c r="J75" s="108" t="e">
        <f ca="1">IF(ColorIndex('Student Details'!L43)&gt;5,"",IF(ColorIndex('Student Details'!L43)=5,(J73/100)*1+(J74/100)*1,IF(ColorIndex('Student Details'!L43)=4,(J73/100)*2+(J74/100)*2,(J73/100)*3+(J74/100)*3)))</f>
        <v>#NAME?</v>
      </c>
      <c r="K75" s="108" t="e">
        <f ca="1">IF(ColorIndex('Student Details'!M43)&gt;5,"",IF(ColorIndex('Student Details'!M43)=5,(K73/100)*1+(K74/100)*1,IF(ColorIndex('Student Details'!M43)=4,(K73/100)*2+(K74/100)*2,(K73/100)*3+(K74/100)*3)))</f>
        <v>#NAME?</v>
      </c>
      <c r="L75" s="108" t="e">
        <f ca="1">IF(ColorIndex('Student Details'!N43)&gt;5,"",IF(ColorIndex('Student Details'!N43)=5,(L73/100)*1+(L74/100)*1,IF(ColorIndex('Student Details'!N43)=4,(L73/100)*2+(L74/100)*2,(L73/100)*3+(L74/100)*3)))</f>
        <v>#NAME?</v>
      </c>
      <c r="M75" s="108" t="e">
        <f ca="1">IF(ColorIndex('Student Details'!O43)&gt;5,"",IF(ColorIndex('Student Details'!O43)=5,(M73/100)*1+(M74/100)*1,IF(ColorIndex('Student Details'!O43)=4,(M73/100)*2+(M74/100)*2,(M73/100)*3+(M74/100)*3)))</f>
        <v>#NAME?</v>
      </c>
      <c r="N75" s="475"/>
      <c r="O75" s="475"/>
      <c r="P75" s="475"/>
      <c r="Q75" s="475"/>
      <c r="R75" s="20"/>
      <c r="S75" s="20"/>
      <c r="T75" s="20"/>
      <c r="U75" s="20"/>
      <c r="V75" s="39" t="e">
        <f ca="1">IFERROR(SUM(J75:P75)/COUNTIF(J75:P75,"&gt;0.0"),NA())</f>
        <v>#N/A</v>
      </c>
      <c r="W75" s="20"/>
      <c r="X75" s="20"/>
      <c r="Y75" s="20"/>
      <c r="Z75" s="20"/>
      <c r="AA75" s="20"/>
    </row>
    <row r="76" spans="1:27" ht="18.75" hidden="1" customHeight="1">
      <c r="A76" s="20"/>
      <c r="B76" s="20"/>
      <c r="C76" s="20"/>
      <c r="D76" s="203"/>
      <c r="E76" s="203"/>
      <c r="F76" s="119"/>
      <c r="G76" s="120"/>
      <c r="H76" s="120"/>
      <c r="I76" s="121"/>
      <c r="J76" s="108" t="e">
        <f ca="1">IF(ColorIndex('Student Details'!L43)&gt;5,0,IF(ColorIndex('Student Details'!L43)=5,1,IF(ColorIndex('Student Details'!L43)=4,2,3)))</f>
        <v>#NAME?</v>
      </c>
      <c r="K76" s="108" t="e">
        <f ca="1">IF(ColorIndex('Student Details'!M43)&gt;5,0,IF(ColorIndex('Student Details'!M43)=5,1,IF(ColorIndex('Student Details'!M43)=4,2,3)))</f>
        <v>#NAME?</v>
      </c>
      <c r="L76" s="108" t="e">
        <f ca="1">IF(ColorIndex('Student Details'!N43)&gt;5,0,IF(ColorIndex('Student Details'!N43)=5,1,IF(ColorIndex('Student Details'!N43)=4,2,3)))</f>
        <v>#NAME?</v>
      </c>
      <c r="M76" s="108" t="e">
        <f ca="1">IF(ColorIndex('Student Details'!O43)&gt;5,0,IF(ColorIndex('Student Details'!O43)=5,1,IF(ColorIndex('Student Details'!O43)=4,2,3)))</f>
        <v>#NAME?</v>
      </c>
      <c r="N76" s="193"/>
      <c r="O76" s="194"/>
      <c r="P76" s="193"/>
      <c r="Q76" s="194"/>
      <c r="R76" s="20"/>
      <c r="S76" s="20"/>
      <c r="T76" s="20"/>
      <c r="U76" s="20"/>
      <c r="V76" s="39"/>
      <c r="W76" s="20"/>
      <c r="X76" s="20"/>
      <c r="Y76" s="20"/>
      <c r="Z76" s="20"/>
      <c r="AA76" s="20"/>
    </row>
    <row r="77" spans="1:27" ht="18.75" hidden="1" customHeight="1">
      <c r="A77" s="20"/>
      <c r="B77" s="20"/>
      <c r="C77" s="20"/>
      <c r="D77" s="478" t="str">
        <f>'Student List'!$F$24</f>
        <v>C0.7</v>
      </c>
      <c r="E77" s="478"/>
      <c r="F77" s="479" t="s">
        <v>66</v>
      </c>
      <c r="G77" s="479"/>
      <c r="H77" s="38" t="s">
        <v>64</v>
      </c>
      <c r="I77" s="40">
        <f>$C$10</f>
        <v>0</v>
      </c>
      <c r="J77" s="39" t="e">
        <f ca="1">IF(ColorIndex('Student Details'!L$44)=35,"",$I$40*$T$3)</f>
        <v>#NAME?</v>
      </c>
      <c r="K77" s="39" t="e">
        <f ca="1">IF(ColorIndex('Student Details'!M$44)=35,"",$I$40*$T$3)</f>
        <v>#NAME?</v>
      </c>
      <c r="L77" s="39" t="e">
        <f ca="1">IF(ColorIndex('Student Details'!N$44)=35,"",$I$40*$T$3)</f>
        <v>#NAME?</v>
      </c>
      <c r="M77" s="39" t="e">
        <f ca="1">IF(ColorIndex('Student Details'!O$44)=35,"",$I$40*$T$3)</f>
        <v>#NAME?</v>
      </c>
      <c r="N77" s="475" t="e">
        <f ca="1">(SUMIF(J79:M79,"&gt;0.0")/SUMIF(J80:M80,"&gt;0.0"))*100</f>
        <v>#DIV/0!</v>
      </c>
      <c r="O77" s="475"/>
      <c r="P77" s="475" t="e">
        <f ca="1">IF(N77&gt;($Z$3*100),"Yes","No")</f>
        <v>#DIV/0!</v>
      </c>
      <c r="Q77" s="475"/>
      <c r="R77" s="20"/>
      <c r="S77" s="20"/>
      <c r="T77" s="20"/>
      <c r="U77" s="20"/>
      <c r="V77" s="39" t="e">
        <f ca="1">IFERROR(SUM(J77:P78)/COUNTIF(J77:P77,"&gt;0.0"),NA())</f>
        <v>#N/A</v>
      </c>
      <c r="W77" s="20"/>
      <c r="X77" s="20"/>
      <c r="Y77" s="20"/>
      <c r="Z77" s="20"/>
      <c r="AA77" s="20"/>
    </row>
    <row r="78" spans="1:27" ht="18.75" hidden="1" customHeight="1">
      <c r="A78" s="20"/>
      <c r="B78" s="20"/>
      <c r="C78" s="20"/>
      <c r="D78" s="478"/>
      <c r="E78" s="478"/>
      <c r="F78" s="479"/>
      <c r="G78" s="479"/>
      <c r="H78" s="38" t="s">
        <v>67</v>
      </c>
      <c r="I78" s="40">
        <f>$L$3</f>
        <v>96.721311475409834</v>
      </c>
      <c r="J78" s="39" t="e">
        <f ca="1">IF(ColorIndex('Student Details'!L$44)=35,"",$I$41*$T$4)</f>
        <v>#NAME?</v>
      </c>
      <c r="K78" s="39" t="e">
        <f ca="1">IF(ColorIndex('Student Details'!M$44)=35,"",$I$41*$T$4)</f>
        <v>#NAME?</v>
      </c>
      <c r="L78" s="39" t="e">
        <f ca="1">IF(ColorIndex('Student Details'!N$44)=35,"",$I$41*$T$4)</f>
        <v>#NAME?</v>
      </c>
      <c r="M78" s="39" t="e">
        <f ca="1">IF(ColorIndex('Student Details'!O$44)=35,"",$I$41*$T$4)</f>
        <v>#NAME?</v>
      </c>
      <c r="N78" s="475"/>
      <c r="O78" s="475"/>
      <c r="P78" s="475"/>
      <c r="Q78" s="475"/>
      <c r="R78" s="20"/>
      <c r="S78" s="20"/>
      <c r="T78" s="20"/>
      <c r="U78" s="20"/>
      <c r="V78" s="39" t="e">
        <f>NA()</f>
        <v>#N/A</v>
      </c>
      <c r="W78" s="20"/>
      <c r="X78" s="20"/>
      <c r="Y78" s="20"/>
      <c r="Z78" s="20"/>
      <c r="AA78" s="20"/>
    </row>
    <row r="79" spans="1:27" ht="18.75" hidden="1" customHeight="1">
      <c r="A79" s="20"/>
      <c r="B79" s="20"/>
      <c r="C79" s="20"/>
      <c r="D79" s="478"/>
      <c r="E79" s="478"/>
      <c r="F79" s="481" t="str">
        <f>D77 &amp; "     Attainment"</f>
        <v>C0.7     Attainment</v>
      </c>
      <c r="G79" s="482"/>
      <c r="H79" s="482"/>
      <c r="I79" s="483"/>
      <c r="J79" s="108" t="e">
        <f ca="1">IF(ColorIndex('Student Details'!L44)&gt;5,"",IF(ColorIndex('Student Details'!L44)=5,(J77/100)*1+(J78/100)*1,IF(ColorIndex('Student Details'!L44)=4,(J77/100)*2+(J78/100)*2,(J77/100)*3+(J78/100)*3)))</f>
        <v>#NAME?</v>
      </c>
      <c r="K79" s="108" t="e">
        <f ca="1">IF(ColorIndex('Student Details'!M44)&gt;5,"",IF(ColorIndex('Student Details'!M44)=5,(K77/100)*1+(K78/100)*1,IF(ColorIndex('Student Details'!M44)=4,(K77/100)*2+(K78/100)*2,(K77/100)*3+(K78/100)*3)))</f>
        <v>#NAME?</v>
      </c>
      <c r="L79" s="108" t="e">
        <f ca="1">IF(ColorIndex('Student Details'!N44)&gt;5,"",IF(ColorIndex('Student Details'!N44)=5,(L77/100)*1+(L78/100)*1,IF(ColorIndex('Student Details'!N44)=4,(L77/100)*2+(L78/100)*2,(L77/100)*3+(L78/100)*3)))</f>
        <v>#NAME?</v>
      </c>
      <c r="M79" s="108" t="e">
        <f ca="1">IF(ColorIndex('Student Details'!O44)&gt;5,"",IF(ColorIndex('Student Details'!O44)=5,(M77/100)*1+(M78/100)*1,IF(ColorIndex('Student Details'!O44)=4,(M77/100)*2+(M78/100)*2,(M77/100)*3+(M78/100)*3)))</f>
        <v>#NAME?</v>
      </c>
      <c r="N79" s="475"/>
      <c r="O79" s="475"/>
      <c r="P79" s="475"/>
      <c r="Q79" s="475"/>
      <c r="R79" s="20"/>
      <c r="S79" s="20"/>
      <c r="T79" s="20"/>
      <c r="U79" s="20"/>
      <c r="V79" s="39" t="e">
        <f ca="1">IFERROR(SUM(J79:P79)/COUNTIF(J79:P79,"&gt;0.0"),NA())</f>
        <v>#N/A</v>
      </c>
      <c r="W79" s="20"/>
      <c r="X79" s="20"/>
      <c r="Y79" s="20"/>
      <c r="Z79" s="20"/>
      <c r="AA79" s="20"/>
    </row>
    <row r="80" spans="1:27" ht="18.75" hidden="1" customHeight="1">
      <c r="A80" s="20"/>
      <c r="B80" s="20"/>
      <c r="C80" s="20"/>
      <c r="D80" s="203"/>
      <c r="E80" s="203"/>
      <c r="F80" s="119"/>
      <c r="G80" s="120"/>
      <c r="H80" s="120"/>
      <c r="I80" s="121"/>
      <c r="J80" s="108" t="e">
        <f ca="1">IF(ColorIndex('Student Details'!L44)&gt;5,0,IF(ColorIndex('Student Details'!L44)=5,1,IF(ColorIndex('Student Details'!L44)=4,2,3)))</f>
        <v>#NAME?</v>
      </c>
      <c r="K80" s="108" t="e">
        <f ca="1">IF(ColorIndex('Student Details'!M44)&gt;5,0,IF(ColorIndex('Student Details'!M44)=5,1,IF(ColorIndex('Student Details'!M44)=4,2,3)))</f>
        <v>#NAME?</v>
      </c>
      <c r="L80" s="108" t="e">
        <f ca="1">IF(ColorIndex('Student Details'!N44)&gt;5,0,IF(ColorIndex('Student Details'!N44)=5,1,IF(ColorIndex('Student Details'!N44)=4,2,3)))</f>
        <v>#NAME?</v>
      </c>
      <c r="M80" s="108" t="e">
        <f ca="1">IF(ColorIndex('Student Details'!O44)&gt;5,0,IF(ColorIndex('Student Details'!O44)=5,1,IF(ColorIndex('Student Details'!O44)=4,2,3)))</f>
        <v>#NAME?</v>
      </c>
      <c r="N80" s="193"/>
      <c r="O80" s="194"/>
      <c r="P80" s="193"/>
      <c r="Q80" s="194"/>
      <c r="R80" s="20"/>
      <c r="S80" s="20"/>
      <c r="T80" s="20"/>
      <c r="U80" s="20"/>
      <c r="V80" s="39"/>
      <c r="W80" s="20"/>
      <c r="X80" s="20"/>
      <c r="Y80" s="20"/>
      <c r="Z80" s="20"/>
      <c r="AA80" s="20"/>
    </row>
    <row r="81" spans="1:27" ht="18.75" hidden="1" customHeight="1">
      <c r="A81" s="20"/>
      <c r="B81" s="20"/>
      <c r="C81" s="20"/>
      <c r="D81" s="478" t="str">
        <f>'Student List'!$F$26</f>
        <v>C0.8</v>
      </c>
      <c r="E81" s="478"/>
      <c r="F81" s="479" t="s">
        <v>66</v>
      </c>
      <c r="G81" s="479"/>
      <c r="H81" s="38" t="s">
        <v>64</v>
      </c>
      <c r="I81" s="40">
        <f>$C$11</f>
        <v>0</v>
      </c>
      <c r="J81" s="39" t="e">
        <f ca="1">IF(ColorIndex('Student Details'!L$45)=35,"",$I$44*$T$3)</f>
        <v>#NAME?</v>
      </c>
      <c r="K81" s="39" t="e">
        <f ca="1">IF(ColorIndex('Student Details'!M$45)=35,"",$I$44*$T$3)</f>
        <v>#NAME?</v>
      </c>
      <c r="L81" s="39" t="e">
        <f ca="1">IF(ColorIndex('Student Details'!N$45)=35,"",$I$44*$T$3)</f>
        <v>#NAME?</v>
      </c>
      <c r="M81" s="39" t="e">
        <f ca="1">IF(ColorIndex('Student Details'!O$45)=35,"",$I$44*$T$3)</f>
        <v>#NAME?</v>
      </c>
      <c r="N81" s="475" t="e">
        <f ca="1">(SUMIF(J83:M83,"&gt;0.0")/SUMIF(J84:M84,"&gt;0.0"))*100</f>
        <v>#DIV/0!</v>
      </c>
      <c r="O81" s="475"/>
      <c r="P81" s="475" t="e">
        <f ca="1">IF(N81&gt;($Z$3*100),"Yes","No")</f>
        <v>#DIV/0!</v>
      </c>
      <c r="Q81" s="475"/>
      <c r="R81" s="20"/>
      <c r="S81" s="20"/>
      <c r="T81" s="20"/>
      <c r="U81" s="20"/>
      <c r="V81" s="39" t="e">
        <f ca="1">IFERROR(SUM(J81:P82)/COUNTIF(J81:P81,"&gt;0.0"),NA())</f>
        <v>#N/A</v>
      </c>
      <c r="W81" s="20"/>
      <c r="X81" s="20"/>
      <c r="Y81" s="20"/>
      <c r="Z81" s="20"/>
      <c r="AA81" s="20"/>
    </row>
    <row r="82" spans="1:27" ht="18.75" hidden="1" customHeight="1">
      <c r="A82" s="20"/>
      <c r="B82" s="20"/>
      <c r="C82" s="20"/>
      <c r="D82" s="478"/>
      <c r="E82" s="478"/>
      <c r="F82" s="479"/>
      <c r="G82" s="479"/>
      <c r="H82" s="38" t="s">
        <v>67</v>
      </c>
      <c r="I82" s="40">
        <f>$L$3</f>
        <v>96.721311475409834</v>
      </c>
      <c r="J82" s="39" t="e">
        <f ca="1">IF(ColorIndex('Student Details'!L$45)=35,"",$I$45*$T$4)</f>
        <v>#NAME?</v>
      </c>
      <c r="K82" s="39" t="e">
        <f ca="1">IF(ColorIndex('Student Details'!M$45)=35,"",$I$45*$T$4)</f>
        <v>#NAME?</v>
      </c>
      <c r="L82" s="39" t="e">
        <f ca="1">IF(ColorIndex('Student Details'!N$45)=35,"",$I$45*$T$4)</f>
        <v>#NAME?</v>
      </c>
      <c r="M82" s="39" t="e">
        <f ca="1">IF(ColorIndex('Student Details'!O$45)=35,"",$I$45*$T$4)</f>
        <v>#NAME?</v>
      </c>
      <c r="N82" s="475"/>
      <c r="O82" s="475"/>
      <c r="P82" s="475"/>
      <c r="Q82" s="475"/>
      <c r="R82" s="20"/>
      <c r="S82" s="20"/>
      <c r="T82" s="20"/>
      <c r="U82" s="20"/>
      <c r="V82" s="39" t="e">
        <f>NA()</f>
        <v>#N/A</v>
      </c>
      <c r="W82" s="20"/>
      <c r="X82" s="20"/>
      <c r="Y82" s="20"/>
      <c r="Z82" s="20"/>
      <c r="AA82" s="20"/>
    </row>
    <row r="83" spans="1:27" ht="18.75" hidden="1" customHeight="1">
      <c r="A83" s="20"/>
      <c r="B83" s="20"/>
      <c r="C83" s="20"/>
      <c r="D83" s="478"/>
      <c r="E83" s="478"/>
      <c r="F83" s="481" t="str">
        <f>D81 &amp; "     Attainment"</f>
        <v>C0.8     Attainment</v>
      </c>
      <c r="G83" s="482"/>
      <c r="H83" s="482"/>
      <c r="I83" s="483"/>
      <c r="J83" s="108" t="e">
        <f ca="1">IF(ColorIndex('Student Details'!L45)&gt;5,"",IF(ColorIndex('Student Details'!L45)=5,(J81/100)*1+(J82/100)*1,IF(ColorIndex('Student Details'!L45)=4,(J81/100)*2+(J82/100)*2,(J81/100)*3+(J82/100)*3)))</f>
        <v>#NAME?</v>
      </c>
      <c r="K83" s="108" t="e">
        <f ca="1">IF(ColorIndex('Student Details'!M45)&gt;5,"",IF(ColorIndex('Student Details'!M45)=5,(K81/100)*1+(K82/100)*1,IF(ColorIndex('Student Details'!M45)=4,(K81/100)*2+(K82/100)*2,(K81/100)*3+(K82/100)*3)))</f>
        <v>#NAME?</v>
      </c>
      <c r="L83" s="108" t="e">
        <f ca="1">IF(ColorIndex('Student Details'!N45)&gt;5,"",IF(ColorIndex('Student Details'!N45)=5,(L81/100)*1+(L82/100)*1,IF(ColorIndex('Student Details'!N45)=4,(L81/100)*2+(L82/100)*2,(L81/100)*3+(L82/100)*3)))</f>
        <v>#NAME?</v>
      </c>
      <c r="M83" s="108" t="e">
        <f ca="1">IF(ColorIndex('Student Details'!O45)&gt;5,"",IF(ColorIndex('Student Details'!O45)=5,(M81/100)*1+(M82/100)*1,IF(ColorIndex('Student Details'!O45)=4,(M81/100)*2+(M82/100)*2,(M81/100)*3+(M82/100)*3)))</f>
        <v>#NAME?</v>
      </c>
      <c r="N83" s="475"/>
      <c r="O83" s="475"/>
      <c r="P83" s="475"/>
      <c r="Q83" s="475"/>
      <c r="R83" s="20"/>
      <c r="S83" s="20"/>
      <c r="T83" s="20"/>
      <c r="U83" s="20"/>
      <c r="V83" s="39" t="e">
        <f ca="1">IFERROR(SUM(J83:P83)/COUNTIF(J83:P83,"&gt;0.0"),NA())</f>
        <v>#N/A</v>
      </c>
      <c r="W83" s="20"/>
      <c r="X83" s="20"/>
      <c r="Y83" s="20"/>
      <c r="Z83" s="20"/>
      <c r="AA83" s="20"/>
    </row>
    <row r="84" spans="1:27" ht="20.25" hidden="1" customHeight="1">
      <c r="A84" s="20"/>
      <c r="B84" s="20"/>
      <c r="C84" s="20"/>
      <c r="D84" s="203"/>
      <c r="E84" s="203"/>
      <c r="F84" s="119"/>
      <c r="G84" s="120"/>
      <c r="H84" s="120"/>
      <c r="I84" s="121"/>
      <c r="J84" s="108" t="e">
        <f ca="1">IF(ColorIndex('Student Details'!L45)&gt;5,0,IF(ColorIndex('Student Details'!L45)=5,1,IF(ColorIndex('Student Details'!L45)=4,2,3)))</f>
        <v>#NAME?</v>
      </c>
      <c r="K84" s="108" t="e">
        <f ca="1">IF(ColorIndex('Student Details'!M45)&gt;5,0,IF(ColorIndex('Student Details'!M45)=5,1,IF(ColorIndex('Student Details'!M45)=4,2,3)))</f>
        <v>#NAME?</v>
      </c>
      <c r="L84" s="108" t="e">
        <f ca="1">IF(ColorIndex('Student Details'!N45)&gt;5,0,IF(ColorIndex('Student Details'!N45)=5,1,IF(ColorIndex('Student Details'!N45)=4,2,3)))</f>
        <v>#NAME?</v>
      </c>
      <c r="M84" s="108" t="e">
        <f ca="1">IF(ColorIndex('Student Details'!O45)&gt;5,0,IF(ColorIndex('Student Details'!O45)=5,1,IF(ColorIndex('Student Details'!O45)=4,2,3)))</f>
        <v>#NAME?</v>
      </c>
      <c r="N84" s="193"/>
      <c r="O84" s="194"/>
      <c r="P84" s="193"/>
      <c r="Q84" s="194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s="37" customFormat="1" ht="61.5" customHeight="1">
      <c r="A85" s="20"/>
      <c r="B85" s="20"/>
      <c r="C85" s="20"/>
      <c r="D85" s="480" t="s">
        <v>101</v>
      </c>
      <c r="E85" s="480"/>
      <c r="F85" s="480"/>
      <c r="G85" s="480"/>
      <c r="H85" s="480"/>
      <c r="I85" s="480"/>
      <c r="J85" s="224" t="str">
        <f ca="1">IF(IFERROR(SUM(J55,J59,J63,J67,J71,J75,J79,J83)/(COUNTIF(J56,"&gt;0.0")+COUNTIF(J60,"&gt;0.0")+COUNTIF(J64,"&gt;0.0")+COUNTIF(J68,"&gt;0.0")+COUNTIF(J72,"&gt;0.0")+COUNTIF(J76,"&gt;0.0")+COUNTIF(J80,"&gt;0.0")+COUNTIF(J84,"&gt;0.0")),0)=0,"",SUM(J55,J59,J63,J67,J71,J75,J79,J83)/(COUNTIF(J56,"&gt;0.0")+COUNTIF(J60,"&gt;0.0")+COUNTIF(J64,"&gt;0.0")+COUNTIF(J68,"&gt;0.0")+COUNTIF(J72,"&gt;0.0")+COUNTIF(J76,"&gt;0.0")+COUNTIF(J80,"&gt;0.0")+COUNTIF(J84,"&gt;0.0")))</f>
        <v/>
      </c>
      <c r="K85" s="224" t="str">
        <f t="shared" ref="K85:M85" ca="1" si="1">IF(IFERROR(SUM(K55,K59,K63,K67,K71,K75,K79,K83)/(COUNTIF(K56,"&gt;0.0")+COUNTIF(K60,"&gt;0.0")+COUNTIF(K64,"&gt;0.0")+COUNTIF(K68,"&gt;0.0")+COUNTIF(K72,"&gt;0.0")+COUNTIF(K76,"&gt;0.0")+COUNTIF(K80,"&gt;0.0")+COUNTIF(K84,"&gt;0.0")),0)=0,"",SUM(K55,K59,K63,K67,K71,K75,K79,K83)/(COUNTIF(K56,"&gt;0.0")+COUNTIF(K60,"&gt;0.0")+COUNTIF(K64,"&gt;0.0")+COUNTIF(K68,"&gt;0.0")+COUNTIF(K72,"&gt;0.0")+COUNTIF(K76,"&gt;0.0")+COUNTIF(K80,"&gt;0.0")+COUNTIF(K84,"&gt;0.0")))</f>
        <v/>
      </c>
      <c r="L85" s="224" t="str">
        <f t="shared" ca="1" si="1"/>
        <v/>
      </c>
      <c r="M85" s="224" t="str">
        <f t="shared" ca="1" si="1"/>
        <v/>
      </c>
      <c r="N85" s="20"/>
      <c r="O85" s="20"/>
      <c r="P85" s="20"/>
      <c r="Q85" s="20"/>
      <c r="R85" s="20"/>
      <c r="S85" s="20"/>
      <c r="T85" s="20"/>
      <c r="U85" s="20"/>
      <c r="V85" s="20"/>
      <c r="W85" s="42"/>
      <c r="X85" s="42"/>
      <c r="Y85" s="20"/>
      <c r="Z85" s="20"/>
      <c r="AA85" s="20"/>
    </row>
  </sheetData>
  <mergeCells count="122">
    <mergeCell ref="F34:I34"/>
    <mergeCell ref="F38:I38"/>
    <mergeCell ref="F42:I42"/>
    <mergeCell ref="F46:I46"/>
    <mergeCell ref="D40:E42"/>
    <mergeCell ref="F40:G41"/>
    <mergeCell ref="B2:C2"/>
    <mergeCell ref="U1:AA1"/>
    <mergeCell ref="B1:C1"/>
    <mergeCell ref="D1:K1"/>
    <mergeCell ref="L1:O1"/>
    <mergeCell ref="P1:Q1"/>
    <mergeCell ref="R1:T1"/>
    <mergeCell ref="V3:Y3"/>
    <mergeCell ref="Z3:AA3"/>
    <mergeCell ref="H3:I3"/>
    <mergeCell ref="Z2:AA2"/>
    <mergeCell ref="J2:M2"/>
    <mergeCell ref="L3:M3"/>
    <mergeCell ref="J3:K3"/>
    <mergeCell ref="D16:E18"/>
    <mergeCell ref="D15:E15"/>
    <mergeCell ref="F15:I15"/>
    <mergeCell ref="D14:X14"/>
    <mergeCell ref="F16:G17"/>
    <mergeCell ref="W16:W18"/>
    <mergeCell ref="X16:X18"/>
    <mergeCell ref="D20:E22"/>
    <mergeCell ref="F20:G21"/>
    <mergeCell ref="F18:I18"/>
    <mergeCell ref="F22:I22"/>
    <mergeCell ref="D28:E30"/>
    <mergeCell ref="F28:G29"/>
    <mergeCell ref="F26:I26"/>
    <mergeCell ref="F30:I30"/>
    <mergeCell ref="W44:W46"/>
    <mergeCell ref="N57:O59"/>
    <mergeCell ref="P57:Q59"/>
    <mergeCell ref="D52:E52"/>
    <mergeCell ref="F52:I52"/>
    <mergeCell ref="D53:E55"/>
    <mergeCell ref="F53:G54"/>
    <mergeCell ref="F55:I55"/>
    <mergeCell ref="N52:O52"/>
    <mergeCell ref="P52:Q52"/>
    <mergeCell ref="D51:Q51"/>
    <mergeCell ref="N53:O55"/>
    <mergeCell ref="P53:Q55"/>
    <mergeCell ref="D48:I48"/>
    <mergeCell ref="D44:E46"/>
    <mergeCell ref="F44:G45"/>
    <mergeCell ref="F32:G33"/>
    <mergeCell ref="D36:E38"/>
    <mergeCell ref="F36:G37"/>
    <mergeCell ref="D32:E34"/>
    <mergeCell ref="X44:X46"/>
    <mergeCell ref="P2:S2"/>
    <mergeCell ref="P3:S3"/>
    <mergeCell ref="P4:S4"/>
    <mergeCell ref="W32:W34"/>
    <mergeCell ref="X32:X34"/>
    <mergeCell ref="W36:W38"/>
    <mergeCell ref="X36:X38"/>
    <mergeCell ref="W40:W42"/>
    <mergeCell ref="X40:X42"/>
    <mergeCell ref="W20:W22"/>
    <mergeCell ref="X20:X22"/>
    <mergeCell ref="W24:W26"/>
    <mergeCell ref="X24:X26"/>
    <mergeCell ref="W28:W30"/>
    <mergeCell ref="X28:X30"/>
    <mergeCell ref="T2:U2"/>
    <mergeCell ref="T3:U3"/>
    <mergeCell ref="T4:U4"/>
    <mergeCell ref="V2:Y2"/>
    <mergeCell ref="D85:I85"/>
    <mergeCell ref="D81:E83"/>
    <mergeCell ref="F81:G82"/>
    <mergeCell ref="F83:I83"/>
    <mergeCell ref="D68:E68"/>
    <mergeCell ref="D69:E71"/>
    <mergeCell ref="F69:G70"/>
    <mergeCell ref="F71:I71"/>
    <mergeCell ref="D57:E59"/>
    <mergeCell ref="F57:G58"/>
    <mergeCell ref="F59:I59"/>
    <mergeCell ref="D77:E79"/>
    <mergeCell ref="F77:G78"/>
    <mergeCell ref="F79:I79"/>
    <mergeCell ref="D73:E75"/>
    <mergeCell ref="F73:G74"/>
    <mergeCell ref="F75:I75"/>
    <mergeCell ref="D65:E67"/>
    <mergeCell ref="F65:G66"/>
    <mergeCell ref="F67:I67"/>
    <mergeCell ref="D61:E63"/>
    <mergeCell ref="F61:G62"/>
    <mergeCell ref="F63:I63"/>
    <mergeCell ref="H4:I4"/>
    <mergeCell ref="H5:I5"/>
    <mergeCell ref="H6:I6"/>
    <mergeCell ref="H7:I7"/>
    <mergeCell ref="E2:I2"/>
    <mergeCell ref="N81:O83"/>
    <mergeCell ref="P81:Q83"/>
    <mergeCell ref="N73:O75"/>
    <mergeCell ref="P73:Q75"/>
    <mergeCell ref="N77:O79"/>
    <mergeCell ref="H8:I8"/>
    <mergeCell ref="H9:I9"/>
    <mergeCell ref="H10:I10"/>
    <mergeCell ref="H11:I11"/>
    <mergeCell ref="P77:Q79"/>
    <mergeCell ref="N61:O63"/>
    <mergeCell ref="P61:Q63"/>
    <mergeCell ref="N65:O67"/>
    <mergeCell ref="P65:Q67"/>
    <mergeCell ref="N69:O71"/>
    <mergeCell ref="P69:Q71"/>
    <mergeCell ref="D31:E31"/>
    <mergeCell ref="D24:E26"/>
    <mergeCell ref="F24:G25"/>
  </mergeCells>
  <pageMargins left="0.2" right="0" top="0.25" bottom="0.25" header="0.3" footer="0.3"/>
  <pageSetup paperSize="9" scale="46" orientation="landscape" r:id="rId1"/>
  <ignoredErrors>
    <ignoredError sqref="K18 N65 P65 N61 N56:Q56 N58:Q60 O57:Q57 P61 N53 P53 X16 X20 W17:X19 W23:X23 X21:X22 W27:X27 X24:X26 X28:X30" evalError="1"/>
    <ignoredError sqref="N57" evalError="1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AA87"/>
  <sheetViews>
    <sheetView showRowColHeaders="0" zoomScale="55" zoomScaleNormal="55" workbookViewId="0">
      <selection activeCell="J87" sqref="J87:M87"/>
    </sheetView>
  </sheetViews>
  <sheetFormatPr defaultRowHeight="15"/>
  <cols>
    <col min="1" max="1" width="8.28515625" customWidth="1"/>
    <col min="2" max="2" width="12.85546875" customWidth="1"/>
    <col min="3" max="3" width="13.5703125" customWidth="1"/>
    <col min="4" max="4" width="9.28515625" customWidth="1"/>
    <col min="5" max="5" width="10.85546875" customWidth="1"/>
    <col min="6" max="6" width="10.7109375" customWidth="1"/>
    <col min="7" max="7" width="11.28515625" bestFit="1" customWidth="1"/>
    <col min="8" max="8" width="13.85546875" customWidth="1"/>
    <col min="9" max="9" width="10.5703125" bestFit="1" customWidth="1"/>
    <col min="10" max="10" width="10.7109375" customWidth="1"/>
    <col min="11" max="11" width="11.140625" bestFit="1" customWidth="1"/>
    <col min="12" max="12" width="12.140625" bestFit="1" customWidth="1"/>
    <col min="13" max="14" width="12" customWidth="1"/>
    <col min="15" max="15" width="10" bestFit="1" customWidth="1"/>
    <col min="16" max="16" width="11.140625" bestFit="1" customWidth="1"/>
    <col min="17" max="17" width="10.5703125" bestFit="1" customWidth="1"/>
    <col min="18" max="18" width="10.5703125" style="46" customWidth="1"/>
    <col min="19" max="21" width="10.7109375" customWidth="1"/>
    <col min="22" max="22" width="12.140625" hidden="1" customWidth="1"/>
    <col min="23" max="23" width="17" customWidth="1"/>
    <col min="24" max="24" width="18.5703125" customWidth="1"/>
    <col min="25" max="25" width="15.85546875" customWidth="1"/>
    <col min="26" max="26" width="17" customWidth="1"/>
  </cols>
  <sheetData>
    <row r="1" spans="1:27" ht="48.75" customHeight="1">
      <c r="A1" s="20"/>
      <c r="B1" s="507" t="s">
        <v>91</v>
      </c>
      <c r="C1" s="507"/>
      <c r="D1" s="508" t="str">
        <f>'Student Details'!H9</f>
        <v>S.K. GIRISH</v>
      </c>
      <c r="E1" s="508"/>
      <c r="F1" s="508"/>
      <c r="G1" s="508"/>
      <c r="H1" s="508"/>
      <c r="I1" s="508"/>
      <c r="J1" s="508"/>
      <c r="K1" s="508"/>
      <c r="L1" s="509" t="s">
        <v>92</v>
      </c>
      <c r="M1" s="509"/>
      <c r="N1" s="509"/>
      <c r="O1" s="509"/>
      <c r="P1" s="506" t="str">
        <f>'Student Details'!L5</f>
        <v>EE6T01</v>
      </c>
      <c r="Q1" s="506"/>
      <c r="R1" s="509" t="s">
        <v>1</v>
      </c>
      <c r="S1" s="509"/>
      <c r="T1" s="509"/>
      <c r="U1" s="530" t="str">
        <f>'Student Details'!L6</f>
        <v>Power System Analysis &amp; Stability</v>
      </c>
      <c r="V1" s="530"/>
      <c r="W1" s="530"/>
      <c r="X1" s="530"/>
      <c r="Y1" s="530"/>
      <c r="Z1" s="530"/>
      <c r="AA1" s="530"/>
    </row>
    <row r="2" spans="1:27" ht="43.5" customHeight="1">
      <c r="A2" s="20"/>
      <c r="B2" s="505" t="s">
        <v>69</v>
      </c>
      <c r="C2" s="505"/>
      <c r="D2" s="48"/>
      <c r="E2" s="474" t="s">
        <v>70</v>
      </c>
      <c r="F2" s="474"/>
      <c r="G2" s="474"/>
      <c r="H2" s="474"/>
      <c r="I2" s="474"/>
      <c r="J2" s="512" t="s">
        <v>115</v>
      </c>
      <c r="K2" s="512"/>
      <c r="L2" s="512"/>
      <c r="M2" s="512"/>
      <c r="N2" s="95"/>
      <c r="O2" s="514" t="s">
        <v>60</v>
      </c>
      <c r="P2" s="514"/>
      <c r="Q2" s="514"/>
      <c r="R2" s="514"/>
      <c r="S2" s="514"/>
      <c r="T2" s="493" t="s">
        <v>65</v>
      </c>
      <c r="U2" s="494"/>
      <c r="V2" s="497" t="s">
        <v>108</v>
      </c>
      <c r="W2" s="497"/>
      <c r="X2" s="497"/>
      <c r="Y2" s="497"/>
      <c r="Z2" s="510" t="str">
        <f>'Student List'!L6</f>
        <v>2018-19</v>
      </c>
      <c r="AA2" s="510"/>
    </row>
    <row r="3" spans="1:27" ht="36.75" customHeight="1">
      <c r="A3" s="20"/>
      <c r="B3" s="50" t="s">
        <v>62</v>
      </c>
      <c r="C3" s="50" t="s">
        <v>63</v>
      </c>
      <c r="D3" s="20"/>
      <c r="E3" s="195">
        <v>3</v>
      </c>
      <c r="F3" s="195">
        <v>2</v>
      </c>
      <c r="G3" s="195">
        <v>1</v>
      </c>
      <c r="H3" s="511" t="s">
        <v>114</v>
      </c>
      <c r="I3" s="511"/>
      <c r="J3" s="513" t="s">
        <v>67</v>
      </c>
      <c r="K3" s="513"/>
      <c r="L3" s="513">
        <f>'Exam Marks'!$N$6*100</f>
        <v>96.721311475409834</v>
      </c>
      <c r="M3" s="513"/>
      <c r="N3" s="95"/>
      <c r="O3" s="515" t="s">
        <v>116</v>
      </c>
      <c r="P3" s="515"/>
      <c r="Q3" s="515"/>
      <c r="R3" s="515"/>
      <c r="S3" s="515"/>
      <c r="T3" s="495">
        <v>0.2</v>
      </c>
      <c r="U3" s="496"/>
      <c r="V3" s="497" t="s">
        <v>78</v>
      </c>
      <c r="W3" s="497"/>
      <c r="X3" s="497"/>
      <c r="Y3" s="497"/>
      <c r="Z3" s="510">
        <v>0.45</v>
      </c>
      <c r="AA3" s="510"/>
    </row>
    <row r="4" spans="1:27" ht="41.25" customHeight="1">
      <c r="A4" s="20"/>
      <c r="B4" s="50" t="str">
        <f>'Student List'!$F$12</f>
        <v>C0.1</v>
      </c>
      <c r="C4" s="50"/>
      <c r="D4" s="20"/>
      <c r="E4" s="49">
        <f>'End Survey'!$M$12</f>
        <v>54</v>
      </c>
      <c r="F4" s="49">
        <f>'End Survey'!$N$12</f>
        <v>7</v>
      </c>
      <c r="G4" s="49">
        <f>'End Survey'!$O$12</f>
        <v>0</v>
      </c>
      <c r="H4" s="473">
        <f>(E4*$E$3+F4*$F$3+G4*$G$3)/INT('Student Details'!$G$7)</f>
        <v>2.8852459016393444</v>
      </c>
      <c r="I4" s="473"/>
      <c r="J4" s="20"/>
      <c r="K4" s="20"/>
      <c r="L4" s="20"/>
      <c r="M4" s="41"/>
      <c r="N4" s="94"/>
      <c r="O4" s="516" t="s">
        <v>117</v>
      </c>
      <c r="P4" s="516"/>
      <c r="Q4" s="516"/>
      <c r="R4" s="516"/>
      <c r="S4" s="516"/>
      <c r="T4" s="495">
        <v>0.8</v>
      </c>
      <c r="U4" s="496"/>
      <c r="V4" s="20"/>
      <c r="W4" s="45"/>
      <c r="X4" s="45"/>
      <c r="Y4" s="45"/>
      <c r="Z4" s="45"/>
      <c r="AA4" s="20"/>
    </row>
    <row r="5" spans="1:27" ht="41.25" customHeight="1">
      <c r="A5" s="20"/>
      <c r="B5" s="50" t="str">
        <f>'Student List'!$F$14</f>
        <v>C0.2</v>
      </c>
      <c r="C5" s="50"/>
      <c r="D5" s="20"/>
      <c r="E5" s="49">
        <f>'End Survey'!$M$13</f>
        <v>45</v>
      </c>
      <c r="F5" s="49">
        <f>'End Survey'!$N$13</f>
        <v>16</v>
      </c>
      <c r="G5" s="49">
        <f>'End Survey'!$O$13</f>
        <v>0</v>
      </c>
      <c r="H5" s="473">
        <f>(E5*$E$3+F5*$F$3+G5*$G$3)/INT('Student Details'!$G$7)</f>
        <v>2.737704918032787</v>
      </c>
      <c r="I5" s="473" t="e">
        <f>(E5*#REF!+F5*$L$4+G5*$L$5+H5*$L$6)/4*10</f>
        <v>#REF!</v>
      </c>
      <c r="J5" s="20"/>
      <c r="K5" s="20"/>
      <c r="L5" s="20"/>
      <c r="M5" s="41"/>
      <c r="N5" s="95"/>
      <c r="O5" s="45"/>
      <c r="P5" s="20"/>
      <c r="Q5" s="20"/>
      <c r="R5" s="20"/>
      <c r="S5" s="20"/>
      <c r="T5" s="20"/>
      <c r="U5" s="20"/>
      <c r="V5" s="20"/>
      <c r="W5" s="45"/>
      <c r="X5" s="45"/>
      <c r="Y5" s="45"/>
      <c r="Z5" s="45"/>
      <c r="AA5" s="20"/>
    </row>
    <row r="6" spans="1:27" ht="41.25" hidden="1" customHeight="1">
      <c r="A6" s="20"/>
      <c r="B6" s="50" t="str">
        <f>'Student List'!$F$16</f>
        <v>C0.3</v>
      </c>
      <c r="C6" s="50"/>
      <c r="D6" s="20"/>
      <c r="E6" s="49">
        <f>'End Survey'!$M$14</f>
        <v>40</v>
      </c>
      <c r="F6" s="49">
        <f>'End Survey'!$N$14</f>
        <v>16</v>
      </c>
      <c r="G6" s="49">
        <f>'End Survey'!$O$14</f>
        <v>5</v>
      </c>
      <c r="H6" s="473">
        <f>(E6*$E$3+F6*$F$3+G6*$G$3)/INT('Student Details'!$G$7)</f>
        <v>2.5737704918032787</v>
      </c>
      <c r="I6" s="473" t="e">
        <f>(E6*#REF!+F6*$L$4+G6*$L$5+H6*$L$6)/4*10</f>
        <v>#REF!</v>
      </c>
      <c r="J6" s="20"/>
      <c r="K6" s="20"/>
      <c r="L6" s="210"/>
      <c r="M6" s="41"/>
      <c r="N6" s="20"/>
      <c r="O6" s="45"/>
      <c r="P6" s="20"/>
      <c r="Q6" s="20"/>
      <c r="R6" s="20"/>
      <c r="S6" s="20"/>
      <c r="T6" s="20"/>
      <c r="U6" s="20"/>
      <c r="V6" s="20"/>
      <c r="W6" s="45"/>
      <c r="X6" s="45"/>
      <c r="Y6" s="45"/>
      <c r="Z6" s="45"/>
      <c r="AA6" s="20"/>
    </row>
    <row r="7" spans="1:27" ht="41.25" hidden="1" customHeight="1">
      <c r="A7" s="20"/>
      <c r="B7" s="50" t="str">
        <f>'Student List'!$F$18</f>
        <v>C0.4</v>
      </c>
      <c r="C7" s="50"/>
      <c r="D7" s="20"/>
      <c r="E7" s="49">
        <f>'End Survey'!$M$15</f>
        <v>50</v>
      </c>
      <c r="F7" s="49">
        <f>'End Survey'!$N$15</f>
        <v>10</v>
      </c>
      <c r="G7" s="49">
        <f>'End Survey'!$O$15</f>
        <v>1</v>
      </c>
      <c r="H7" s="473">
        <f>(E7*$E$3+F7*$F$3+G7*$G$3)/INT('Student Details'!$G$7)</f>
        <v>2.8032786885245899</v>
      </c>
      <c r="I7" s="473" t="e">
        <f>(E7*#REF!+F7*$L$4+G7*$L$5+H7*$L$6)/4*10</f>
        <v>#REF!</v>
      </c>
      <c r="J7" s="20"/>
      <c r="K7" s="45"/>
      <c r="L7" s="45"/>
      <c r="M7" s="41"/>
      <c r="N7" s="20"/>
      <c r="O7" s="45"/>
      <c r="P7" s="45"/>
      <c r="Q7" s="45"/>
      <c r="R7" s="45"/>
      <c r="S7" s="45"/>
      <c r="T7" s="20"/>
      <c r="U7" s="20"/>
      <c r="V7" s="20"/>
      <c r="W7" s="45"/>
      <c r="X7" s="45"/>
      <c r="Y7" s="45"/>
      <c r="Z7" s="45"/>
      <c r="AA7" s="20"/>
    </row>
    <row r="8" spans="1:27" ht="41.25" hidden="1" customHeight="1">
      <c r="A8" s="20"/>
      <c r="B8" s="50" t="str">
        <f>'Student List'!$F$20</f>
        <v>C0.5</v>
      </c>
      <c r="C8" s="50"/>
      <c r="D8" s="20"/>
      <c r="E8" s="49">
        <f>'End Survey'!$M$16</f>
        <v>43</v>
      </c>
      <c r="F8" s="49">
        <f>'End Survey'!$N$16</f>
        <v>17</v>
      </c>
      <c r="G8" s="49">
        <f>'End Survey'!$O$16</f>
        <v>1</v>
      </c>
      <c r="H8" s="473">
        <f>(E8*$E$3+F8*$F$3+G8*$G$3)/INT('Student Details'!$G$7)</f>
        <v>2.6885245901639343</v>
      </c>
      <c r="I8" s="473" t="e">
        <f>(E8*#REF!+F8*$L$4+G8*$L$5+H8*$L$6)/4*10</f>
        <v>#REF!</v>
      </c>
      <c r="J8" s="20"/>
      <c r="K8" s="44"/>
      <c r="L8" s="45"/>
      <c r="M8" s="45"/>
      <c r="N8" s="20"/>
      <c r="O8" s="45"/>
      <c r="P8" s="45"/>
      <c r="Q8" s="45"/>
      <c r="R8" s="45"/>
      <c r="S8" s="45"/>
      <c r="T8" s="20"/>
      <c r="U8" s="20"/>
      <c r="V8" s="20"/>
      <c r="W8" s="45"/>
      <c r="X8" s="45"/>
      <c r="Y8" s="45"/>
      <c r="Z8" s="45"/>
      <c r="AA8" s="20"/>
    </row>
    <row r="9" spans="1:27" ht="41.25" hidden="1" customHeight="1">
      <c r="A9" s="20"/>
      <c r="B9" s="50" t="str">
        <f>'Student List'!$F$22</f>
        <v>C0.6</v>
      </c>
      <c r="C9" s="50"/>
      <c r="D9" s="20"/>
      <c r="E9" s="49"/>
      <c r="F9" s="49"/>
      <c r="G9" s="49"/>
      <c r="H9" s="473">
        <f>(E9*$E$3+F9*$F$3+G9*$G$3)/INT('Student Details'!$G$7)</f>
        <v>0</v>
      </c>
      <c r="I9" s="473" t="e">
        <f>(E9*#REF!+F9*$L$4+G9*$L$5+H9*$L$6)/4*10</f>
        <v>#REF!</v>
      </c>
      <c r="J9" s="20"/>
      <c r="K9" s="44"/>
      <c r="L9" s="45"/>
      <c r="M9" s="45"/>
      <c r="N9" s="20"/>
      <c r="O9" s="45"/>
      <c r="P9" s="45"/>
      <c r="Q9" s="45"/>
      <c r="R9" s="45"/>
      <c r="S9" s="45"/>
      <c r="T9" s="20"/>
      <c r="U9" s="20"/>
      <c r="V9" s="20"/>
      <c r="W9" s="45"/>
      <c r="X9" s="45"/>
      <c r="Y9" s="45"/>
      <c r="Z9" s="45"/>
      <c r="AA9" s="20"/>
    </row>
    <row r="10" spans="1:27" ht="41.25" hidden="1" customHeight="1">
      <c r="A10" s="20"/>
      <c r="B10" s="50" t="str">
        <f>'Student List'!$F$24</f>
        <v>C0.7</v>
      </c>
      <c r="C10" s="50"/>
      <c r="D10" s="20"/>
      <c r="E10" s="49"/>
      <c r="F10" s="49"/>
      <c r="G10" s="49"/>
      <c r="H10" s="473">
        <f>(E10*$E$3+F10*$F$3+G10*$G$3)/INT('Student Details'!$G$7)</f>
        <v>0</v>
      </c>
      <c r="I10" s="473" t="e">
        <f>(E10*#REF!+F10*$L$4+G10*$L$5+H10*$L$6)/4*10</f>
        <v>#REF!</v>
      </c>
      <c r="J10" s="20"/>
      <c r="K10" s="44"/>
      <c r="L10" s="45"/>
      <c r="M10" s="45"/>
      <c r="N10" s="20"/>
      <c r="O10" s="45"/>
      <c r="P10" s="45"/>
      <c r="Q10" s="45"/>
      <c r="R10" s="45"/>
      <c r="S10" s="45"/>
      <c r="T10" s="20"/>
      <c r="U10" s="20"/>
      <c r="V10" s="20"/>
      <c r="W10" s="45"/>
      <c r="X10" s="45"/>
      <c r="Y10" s="45"/>
      <c r="Z10" s="45"/>
      <c r="AA10" s="20"/>
    </row>
    <row r="11" spans="1:27" ht="41.25" hidden="1" customHeight="1">
      <c r="A11" s="20"/>
      <c r="B11" s="50" t="str">
        <f>'Student List'!$F$26</f>
        <v>C0.8</v>
      </c>
      <c r="C11" s="50"/>
      <c r="D11" s="20"/>
      <c r="E11" s="49"/>
      <c r="F11" s="49"/>
      <c r="G11" s="49"/>
      <c r="H11" s="473">
        <f>(E11*$E$3+F11*$F$3+G11*$G$3)/INT('Student Details'!$G$7)</f>
        <v>0</v>
      </c>
      <c r="I11" s="473" t="e">
        <f>(E11*#REF!+F11*$L$4+G11*$L$5+H11*$L$6)/4*10</f>
        <v>#REF!</v>
      </c>
      <c r="J11" s="20"/>
      <c r="K11" s="44"/>
      <c r="L11" s="45"/>
      <c r="M11" s="45"/>
      <c r="N11" s="20"/>
      <c r="O11" s="45"/>
      <c r="P11" s="45"/>
      <c r="Q11" s="45"/>
      <c r="R11" s="45"/>
      <c r="S11" s="45"/>
      <c r="T11" s="20"/>
      <c r="U11" s="20"/>
      <c r="V11" s="20"/>
      <c r="W11" s="45"/>
      <c r="X11" s="45"/>
      <c r="Y11" s="45"/>
      <c r="Z11" s="45"/>
      <c r="AA11" s="20"/>
    </row>
    <row r="12" spans="1:27" ht="9.75" customHeight="1">
      <c r="A12" s="20"/>
      <c r="B12" s="43"/>
      <c r="C12" s="43"/>
      <c r="D12" s="20"/>
      <c r="E12" s="20"/>
      <c r="F12" s="20"/>
      <c r="G12" s="41"/>
      <c r="H12" s="42"/>
      <c r="I12" s="44"/>
      <c r="J12" s="44"/>
      <c r="K12" s="44"/>
      <c r="L12" s="45"/>
      <c r="M12" s="45"/>
      <c r="N12" s="20"/>
      <c r="O12" s="45"/>
      <c r="P12" s="45"/>
      <c r="Q12" s="45"/>
      <c r="R12" s="45"/>
      <c r="S12" s="45"/>
      <c r="T12" s="20"/>
      <c r="U12" s="20"/>
      <c r="V12" s="20"/>
      <c r="W12" s="20"/>
      <c r="X12" s="47"/>
      <c r="Y12" s="47"/>
      <c r="Z12" s="47"/>
      <c r="AA12" s="20"/>
    </row>
    <row r="13" spans="1:27" ht="0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5"/>
      <c r="P13" s="45"/>
      <c r="Q13" s="45"/>
      <c r="R13" s="45"/>
      <c r="S13" s="45"/>
      <c r="T13" s="20"/>
      <c r="U13" s="20"/>
      <c r="V13" s="20"/>
      <c r="W13" s="20"/>
      <c r="X13" s="20"/>
      <c r="Y13" s="20"/>
      <c r="Z13" s="20"/>
      <c r="AA13" s="20"/>
    </row>
    <row r="14" spans="1:27" ht="33" customHeight="1">
      <c r="A14" s="20"/>
      <c r="B14" s="20" t="s">
        <v>76</v>
      </c>
      <c r="C14" s="20"/>
      <c r="D14" s="504" t="s">
        <v>103</v>
      </c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20"/>
      <c r="Z14" s="20"/>
      <c r="AA14" s="20"/>
    </row>
    <row r="15" spans="1:27" ht="54.75" customHeight="1">
      <c r="A15" s="20"/>
      <c r="B15" s="20"/>
      <c r="C15" s="20"/>
      <c r="D15" s="520" t="s">
        <v>59</v>
      </c>
      <c r="E15" s="521"/>
      <c r="F15" s="498" t="s">
        <v>60</v>
      </c>
      <c r="G15" s="498"/>
      <c r="H15" s="498"/>
      <c r="I15" s="498"/>
      <c r="J15" s="189" t="s">
        <v>79</v>
      </c>
      <c r="K15" s="189" t="s">
        <v>80</v>
      </c>
      <c r="L15" s="189" t="s">
        <v>81</v>
      </c>
      <c r="M15" s="189" t="s">
        <v>82</v>
      </c>
      <c r="N15" s="189" t="s">
        <v>83</v>
      </c>
      <c r="O15" s="189" t="s">
        <v>84</v>
      </c>
      <c r="P15" s="189" t="s">
        <v>85</v>
      </c>
      <c r="Q15" s="189" t="s">
        <v>86</v>
      </c>
      <c r="R15" s="189" t="s">
        <v>87</v>
      </c>
      <c r="S15" s="189" t="s">
        <v>88</v>
      </c>
      <c r="T15" s="189" t="s">
        <v>89</v>
      </c>
      <c r="U15" s="189" t="s">
        <v>90</v>
      </c>
      <c r="V15" s="51"/>
      <c r="W15" s="528" t="s">
        <v>71</v>
      </c>
      <c r="X15" s="528" t="str">
        <f>"Achievement (Goal  : " &amp;Z3*100&amp;"% )"</f>
        <v>Achievement (Goal  : 45% )</v>
      </c>
      <c r="Y15" s="20"/>
      <c r="Z15" s="20"/>
      <c r="AA15" s="20"/>
    </row>
    <row r="16" spans="1:27" ht="38.25" customHeight="1">
      <c r="A16" s="20"/>
      <c r="B16" s="20"/>
      <c r="C16" s="20"/>
      <c r="D16" s="522"/>
      <c r="E16" s="523"/>
      <c r="F16" s="517" t="s">
        <v>120</v>
      </c>
      <c r="G16" s="518"/>
      <c r="H16" s="518"/>
      <c r="I16" s="519"/>
      <c r="J16" s="196" t="str">
        <f ca="1">'Final Analysis'!J48</f>
        <v/>
      </c>
      <c r="K16" s="196" t="str">
        <f ca="1">'Final Analysis'!K48</f>
        <v/>
      </c>
      <c r="L16" s="196" t="str">
        <f ca="1">'Final Analysis'!L48</f>
        <v/>
      </c>
      <c r="M16" s="196" t="str">
        <f ca="1">'Final Analysis'!M48</f>
        <v/>
      </c>
      <c r="N16" s="196" t="str">
        <f ca="1">'Final Analysis'!N48</f>
        <v/>
      </c>
      <c r="O16" s="196" t="str">
        <f ca="1">'Final Analysis'!O48</f>
        <v/>
      </c>
      <c r="P16" s="196" t="str">
        <f ca="1">'Final Analysis'!P48</f>
        <v/>
      </c>
      <c r="Q16" s="196" t="str">
        <f ca="1">'Final Analysis'!Q48</f>
        <v/>
      </c>
      <c r="R16" s="196" t="str">
        <f ca="1">'Final Analysis'!R48</f>
        <v/>
      </c>
      <c r="S16" s="196" t="str">
        <f ca="1">'Final Analysis'!S48</f>
        <v/>
      </c>
      <c r="T16" s="196" t="str">
        <f ca="1">'Final Analysis'!T48</f>
        <v/>
      </c>
      <c r="U16" s="196" t="str">
        <f ca="1">'Final Analysis'!U48</f>
        <v/>
      </c>
      <c r="V16" s="51"/>
      <c r="W16" s="529"/>
      <c r="X16" s="529"/>
      <c r="Y16" s="20"/>
      <c r="Z16" s="20"/>
      <c r="AA16" s="20"/>
    </row>
    <row r="17" spans="1:27" ht="18.75" hidden="1" customHeight="1">
      <c r="A17" s="20"/>
      <c r="B17" s="20"/>
      <c r="C17" s="20"/>
      <c r="D17" s="478" t="str">
        <f>'Student List'!$F$12</f>
        <v>C0.1</v>
      </c>
      <c r="E17" s="478"/>
      <c r="F17" s="524" t="s">
        <v>118</v>
      </c>
      <c r="G17" s="525"/>
      <c r="H17" s="208" t="s">
        <v>119</v>
      </c>
      <c r="I17" s="209">
        <f>$H$4</f>
        <v>2.8852459016393444</v>
      </c>
      <c r="J17" s="53" t="e">
        <f ca="1">IF(J20=0,"",IF(J$16="","",$I17*$T$3))</f>
        <v>#NAME?</v>
      </c>
      <c r="K17" s="53" t="e">
        <f t="shared" ref="K17:U17" ca="1" si="0">IF(K20=0,"",IF(K$16="","",$I17*$T$3))</f>
        <v>#NAME?</v>
      </c>
      <c r="L17" s="53" t="e">
        <f t="shared" ca="1" si="0"/>
        <v>#NAME?</v>
      </c>
      <c r="M17" s="53" t="e">
        <f t="shared" ca="1" si="0"/>
        <v>#NAME?</v>
      </c>
      <c r="N17" s="53" t="e">
        <f t="shared" ca="1" si="0"/>
        <v>#NAME?</v>
      </c>
      <c r="O17" s="53" t="e">
        <f t="shared" ca="1" si="0"/>
        <v>#NAME?</v>
      </c>
      <c r="P17" s="53" t="e">
        <f t="shared" ca="1" si="0"/>
        <v>#NAME?</v>
      </c>
      <c r="Q17" s="53" t="e">
        <f t="shared" ca="1" si="0"/>
        <v>#NAME?</v>
      </c>
      <c r="R17" s="53" t="e">
        <f t="shared" ca="1" si="0"/>
        <v>#NAME?</v>
      </c>
      <c r="S17" s="53" t="e">
        <f t="shared" ca="1" si="0"/>
        <v>#NAME?</v>
      </c>
      <c r="T17" s="53" t="e">
        <f t="shared" ca="1" si="0"/>
        <v>#NAME?</v>
      </c>
      <c r="U17" s="53" t="e">
        <f t="shared" ca="1" si="0"/>
        <v>#NAME?</v>
      </c>
      <c r="V17" s="39" t="e">
        <f ca="1">IFERROR(SUM(J17:U17)/COUNTIF(J17:U17,"&gt;0.0"),NA())</f>
        <v>#N/A</v>
      </c>
      <c r="W17" s="484" t="e">
        <f ca="1">(SUMIF(J19:U19,"&gt;0.0")/SUMIF(J20:U20,"&gt;0.0"))*100</f>
        <v>#DIV/0!</v>
      </c>
      <c r="X17" s="484" t="e">
        <f ca="1">IF(W17&gt;($Z$3*100),"Yes","No")</f>
        <v>#DIV/0!</v>
      </c>
      <c r="Y17" s="20"/>
      <c r="Z17" s="20"/>
      <c r="AA17" s="20"/>
    </row>
    <row r="18" spans="1:27" ht="18.75" hidden="1" customHeight="1">
      <c r="A18" s="20"/>
      <c r="B18" s="20"/>
      <c r="C18" s="20"/>
      <c r="D18" s="478"/>
      <c r="E18" s="478"/>
      <c r="F18" s="527" t="s">
        <v>66</v>
      </c>
      <c r="G18" s="527"/>
      <c r="H18" s="527"/>
      <c r="I18" s="527"/>
      <c r="J18" s="53" t="e">
        <f ca="1">IF(J20=0,"",IFERROR(J$16*$T$4,""))</f>
        <v>#NAME?</v>
      </c>
      <c r="K18" s="53" t="e">
        <f t="shared" ref="K18:U18" ca="1" si="1">IF(K20=0,"",IFERROR(K$16*$T$4,""))</f>
        <v>#NAME?</v>
      </c>
      <c r="L18" s="53" t="e">
        <f t="shared" ca="1" si="1"/>
        <v>#NAME?</v>
      </c>
      <c r="M18" s="53" t="e">
        <f t="shared" ca="1" si="1"/>
        <v>#NAME?</v>
      </c>
      <c r="N18" s="53" t="e">
        <f t="shared" ca="1" si="1"/>
        <v>#NAME?</v>
      </c>
      <c r="O18" s="53" t="e">
        <f t="shared" ca="1" si="1"/>
        <v>#NAME?</v>
      </c>
      <c r="P18" s="53" t="e">
        <f t="shared" ca="1" si="1"/>
        <v>#NAME?</v>
      </c>
      <c r="Q18" s="53" t="e">
        <f t="shared" ca="1" si="1"/>
        <v>#NAME?</v>
      </c>
      <c r="R18" s="53" t="e">
        <f t="shared" ca="1" si="1"/>
        <v>#NAME?</v>
      </c>
      <c r="S18" s="53" t="e">
        <f t="shared" ca="1" si="1"/>
        <v>#NAME?</v>
      </c>
      <c r="T18" s="53" t="e">
        <f t="shared" ca="1" si="1"/>
        <v>#NAME?</v>
      </c>
      <c r="U18" s="53" t="e">
        <f t="shared" ca="1" si="1"/>
        <v>#NAME?</v>
      </c>
      <c r="V18" s="39"/>
      <c r="W18" s="485"/>
      <c r="X18" s="485"/>
      <c r="Y18" s="20"/>
      <c r="Z18" s="20"/>
      <c r="AA18" s="20"/>
    </row>
    <row r="19" spans="1:27" ht="18.75" hidden="1" customHeight="1">
      <c r="A19" s="20"/>
      <c r="B19" s="20"/>
      <c r="C19" s="20"/>
      <c r="D19" s="478"/>
      <c r="E19" s="478"/>
      <c r="F19" s="481" t="str">
        <f>D17 &amp; "     Attainment"</f>
        <v>C0.1     Attainment</v>
      </c>
      <c r="G19" s="482"/>
      <c r="H19" s="482"/>
      <c r="I19" s="483"/>
      <c r="J19" s="108" t="e">
        <f ca="1">IF(J20=0,"",(J17)+(J18))</f>
        <v>#NAME?</v>
      </c>
      <c r="K19" s="108" t="e">
        <f t="shared" ref="K19:U19" ca="1" si="2">IF(K20=0,"",(K17)+(K18))</f>
        <v>#NAME?</v>
      </c>
      <c r="L19" s="108" t="e">
        <f t="shared" ca="1" si="2"/>
        <v>#NAME?</v>
      </c>
      <c r="M19" s="108" t="e">
        <f t="shared" ca="1" si="2"/>
        <v>#NAME?</v>
      </c>
      <c r="N19" s="108" t="e">
        <f t="shared" ca="1" si="2"/>
        <v>#NAME?</v>
      </c>
      <c r="O19" s="108" t="e">
        <f t="shared" ca="1" si="2"/>
        <v>#NAME?</v>
      </c>
      <c r="P19" s="108" t="e">
        <f t="shared" ca="1" si="2"/>
        <v>#NAME?</v>
      </c>
      <c r="Q19" s="108" t="e">
        <f t="shared" ca="1" si="2"/>
        <v>#NAME?</v>
      </c>
      <c r="R19" s="108" t="e">
        <f t="shared" ca="1" si="2"/>
        <v>#NAME?</v>
      </c>
      <c r="S19" s="108" t="e">
        <f t="shared" ca="1" si="2"/>
        <v>#NAME?</v>
      </c>
      <c r="T19" s="108" t="e">
        <f t="shared" ca="1" si="2"/>
        <v>#NAME?</v>
      </c>
      <c r="U19" s="108" t="e">
        <f t="shared" ca="1" si="2"/>
        <v>#NAME?</v>
      </c>
      <c r="V19" s="39" t="e">
        <f ca="1">IFERROR(SUM(J19:U19)/COUNTIF(J19:U19,"&gt;0.0"),NA())</f>
        <v>#N/A</v>
      </c>
      <c r="W19" s="486"/>
      <c r="X19" s="486"/>
      <c r="Y19" s="20"/>
      <c r="Z19" s="20"/>
      <c r="AA19" s="20"/>
    </row>
    <row r="20" spans="1:27" ht="18.75" hidden="1" customHeight="1">
      <c r="A20" s="20"/>
      <c r="B20" s="20"/>
      <c r="C20" s="20"/>
      <c r="D20" s="199"/>
      <c r="E20" s="199"/>
      <c r="F20" s="184"/>
      <c r="G20" s="185"/>
      <c r="H20" s="185"/>
      <c r="I20" s="186"/>
      <c r="J20" s="108" t="e">
        <f ca="1">IF(ColorIndex('Student Details'!L27)&gt;5,0,IF(ColorIndex('Student Details'!L27)=5,1,IF(ColorIndex('Student Details'!L27)=4,2,3)))</f>
        <v>#NAME?</v>
      </c>
      <c r="K20" s="108" t="e">
        <f ca="1">IF(ColorIndex('Student Details'!M27)&gt;5,0,IF(ColorIndex('Student Details'!M27)=5,1,IF(ColorIndex('Student Details'!M27)=4,2,3)))</f>
        <v>#NAME?</v>
      </c>
      <c r="L20" s="108" t="e">
        <f ca="1">IF(ColorIndex('Student Details'!N27)&gt;5,0,IF(ColorIndex('Student Details'!N27)=5,1,IF(ColorIndex('Student Details'!N27)=4,2,3)))</f>
        <v>#NAME?</v>
      </c>
      <c r="M20" s="108" t="e">
        <f ca="1">IF(ColorIndex('Student Details'!O27)&gt;5,0,IF(ColorIndex('Student Details'!O27)=5,1,IF(ColorIndex('Student Details'!O27)=4,2,3)))</f>
        <v>#NAME?</v>
      </c>
      <c r="N20" s="108" t="e">
        <f ca="1">IF(ColorIndex('Student Details'!P27)&gt;5,0,IF(ColorIndex('Student Details'!P27)=5,1,IF(ColorIndex('Student Details'!P27)=4,2,3)))</f>
        <v>#NAME?</v>
      </c>
      <c r="O20" s="108" t="e">
        <f ca="1">IF(ColorIndex('Student Details'!Q27)&gt;5,0,IF(ColorIndex('Student Details'!Q27)=5,1,IF(ColorIndex('Student Details'!Q27)=4,2,3)))</f>
        <v>#NAME?</v>
      </c>
      <c r="P20" s="108" t="e">
        <f ca="1">IF(ColorIndex('Student Details'!R27)&gt;5,0,IF(ColorIndex('Student Details'!R27)=5,1,IF(ColorIndex('Student Details'!R27)=4,2,3)))</f>
        <v>#NAME?</v>
      </c>
      <c r="Q20" s="108" t="e">
        <f ca="1">IF(ColorIndex('Student Details'!S27)&gt;5,0,IF(ColorIndex('Student Details'!S27)=5,1,IF(ColorIndex('Student Details'!S27)=4,2,3)))</f>
        <v>#NAME?</v>
      </c>
      <c r="R20" s="108" t="e">
        <f ca="1">IF(ColorIndex('Student Details'!T27)&gt;5,0,IF(ColorIndex('Student Details'!T27)=5,1,IF(ColorIndex('Student Details'!T27)=4,2,3)))</f>
        <v>#NAME?</v>
      </c>
      <c r="S20" s="108" t="e">
        <f ca="1">IF(ColorIndex('Student Details'!U27)&gt;5,0,IF(ColorIndex('Student Details'!U27)=5,1,IF(ColorIndex('Student Details'!U27)=4,2,3)))</f>
        <v>#NAME?</v>
      </c>
      <c r="T20" s="108" t="e">
        <f ca="1">IF(ColorIndex('Student Details'!V27)&gt;5,0,IF(ColorIndex('Student Details'!V27)=5,1,IF(ColorIndex('Student Details'!V27)=4,2,3)))</f>
        <v>#NAME?</v>
      </c>
      <c r="U20" s="108" t="e">
        <f ca="1">IF(ColorIndex('Student Details'!W27)&gt;5,0,IF(ColorIndex('Student Details'!W27)=5,1,IF(ColorIndex('Student Details'!W27)=4,2,3)))</f>
        <v>#NAME?</v>
      </c>
      <c r="V20" s="39"/>
      <c r="W20" s="187"/>
      <c r="X20" s="187"/>
      <c r="Y20" s="20"/>
      <c r="Z20" s="20"/>
      <c r="AA20" s="20"/>
    </row>
    <row r="21" spans="1:27" ht="18.75" hidden="1" customHeight="1">
      <c r="A21" s="20"/>
      <c r="B21" s="20"/>
      <c r="C21" s="20"/>
      <c r="D21" s="478" t="str">
        <f>'Student List'!$F$14</f>
        <v>C0.2</v>
      </c>
      <c r="E21" s="478"/>
      <c r="F21" s="524" t="s">
        <v>118</v>
      </c>
      <c r="G21" s="525"/>
      <c r="H21" s="197" t="s">
        <v>119</v>
      </c>
      <c r="I21" s="198">
        <f>$H$5</f>
        <v>2.737704918032787</v>
      </c>
      <c r="J21" s="53" t="e">
        <f ca="1">IF(J24=0,"",IF(J$16="","",$I21*$T$3))</f>
        <v>#NAME?</v>
      </c>
      <c r="K21" s="53" t="e">
        <f t="shared" ref="K21:V21" ca="1" si="3">IF(K24=0,"",IF(K$16="","",$I21*$T$3))</f>
        <v>#NAME?</v>
      </c>
      <c r="L21" s="53" t="e">
        <f t="shared" ca="1" si="3"/>
        <v>#NAME?</v>
      </c>
      <c r="M21" s="53" t="e">
        <f t="shared" ca="1" si="3"/>
        <v>#NAME?</v>
      </c>
      <c r="N21" s="53" t="e">
        <f t="shared" ca="1" si="3"/>
        <v>#NAME?</v>
      </c>
      <c r="O21" s="53" t="e">
        <f t="shared" ca="1" si="3"/>
        <v>#NAME?</v>
      </c>
      <c r="P21" s="53" t="e">
        <f t="shared" ca="1" si="3"/>
        <v>#NAME?</v>
      </c>
      <c r="Q21" s="53" t="e">
        <f t="shared" ca="1" si="3"/>
        <v>#NAME?</v>
      </c>
      <c r="R21" s="53" t="e">
        <f t="shared" ca="1" si="3"/>
        <v>#NAME?</v>
      </c>
      <c r="S21" s="53" t="e">
        <f t="shared" ca="1" si="3"/>
        <v>#NAME?</v>
      </c>
      <c r="T21" s="53" t="e">
        <f t="shared" ca="1" si="3"/>
        <v>#NAME?</v>
      </c>
      <c r="U21" s="53" t="e">
        <f t="shared" ca="1" si="3"/>
        <v>#NAME?</v>
      </c>
      <c r="V21" s="53" t="str">
        <f t="shared" si="3"/>
        <v/>
      </c>
      <c r="W21" s="484" t="e">
        <f ca="1">(SUMIF(J23:U23,"&gt;0.0")/SUMIF(J24:U24,"&gt;0.0"))*100</f>
        <v>#DIV/0!</v>
      </c>
      <c r="X21" s="484" t="e">
        <f ca="1">IF(W21&gt;($Z$3*100),"Yes","No")</f>
        <v>#DIV/0!</v>
      </c>
      <c r="Y21" s="20"/>
      <c r="Z21" s="20"/>
      <c r="AA21" s="20"/>
    </row>
    <row r="22" spans="1:27" ht="18.75" hidden="1" customHeight="1">
      <c r="A22" s="20"/>
      <c r="B22" s="20"/>
      <c r="C22" s="20"/>
      <c r="D22" s="478"/>
      <c r="E22" s="478"/>
      <c r="F22" s="527" t="s">
        <v>66</v>
      </c>
      <c r="G22" s="527"/>
      <c r="H22" s="527"/>
      <c r="I22" s="527"/>
      <c r="J22" s="53" t="e">
        <f ca="1">IF(J24=0,"",IFERROR(J$16*$T$4,""))</f>
        <v>#NAME?</v>
      </c>
      <c r="K22" s="53" t="e">
        <f t="shared" ref="K22:V22" ca="1" si="4">IF(K24=0,"",IFERROR(K$16*$T$4,""))</f>
        <v>#NAME?</v>
      </c>
      <c r="L22" s="53" t="e">
        <f t="shared" ca="1" si="4"/>
        <v>#NAME?</v>
      </c>
      <c r="M22" s="53" t="e">
        <f t="shared" ca="1" si="4"/>
        <v>#NAME?</v>
      </c>
      <c r="N22" s="53" t="e">
        <f t="shared" ca="1" si="4"/>
        <v>#NAME?</v>
      </c>
      <c r="O22" s="53" t="e">
        <f t="shared" ca="1" si="4"/>
        <v>#NAME?</v>
      </c>
      <c r="P22" s="53" t="e">
        <f t="shared" ca="1" si="4"/>
        <v>#NAME?</v>
      </c>
      <c r="Q22" s="53" t="e">
        <f t="shared" ca="1" si="4"/>
        <v>#NAME?</v>
      </c>
      <c r="R22" s="53" t="e">
        <f t="shared" ca="1" si="4"/>
        <v>#NAME?</v>
      </c>
      <c r="S22" s="53" t="e">
        <f t="shared" ca="1" si="4"/>
        <v>#NAME?</v>
      </c>
      <c r="T22" s="53" t="e">
        <f t="shared" ca="1" si="4"/>
        <v>#NAME?</v>
      </c>
      <c r="U22" s="53" t="e">
        <f t="shared" ca="1" si="4"/>
        <v>#NAME?</v>
      </c>
      <c r="V22" s="53" t="str">
        <f t="shared" si="4"/>
        <v/>
      </c>
      <c r="W22" s="485"/>
      <c r="X22" s="485"/>
      <c r="Y22" s="20"/>
      <c r="Z22" s="20"/>
      <c r="AA22" s="20"/>
    </row>
    <row r="23" spans="1:27" ht="18.75" hidden="1" customHeight="1">
      <c r="A23" s="20"/>
      <c r="B23" s="20"/>
      <c r="C23" s="20"/>
      <c r="D23" s="478"/>
      <c r="E23" s="478"/>
      <c r="F23" s="481" t="str">
        <f>D21 &amp; "     Attainment"</f>
        <v>C0.2     Attainment</v>
      </c>
      <c r="G23" s="482"/>
      <c r="H23" s="482"/>
      <c r="I23" s="483"/>
      <c r="J23" s="108" t="e">
        <f ca="1">IF(J24=0,"",(J21)+(J22))</f>
        <v>#NAME?</v>
      </c>
      <c r="K23" s="108" t="e">
        <f t="shared" ref="K23" ca="1" si="5">IF(K24=0,"",(K21)+(K22))</f>
        <v>#NAME?</v>
      </c>
      <c r="L23" s="108" t="e">
        <f t="shared" ref="L23" ca="1" si="6">IF(L24=0,"",(L21)+(L22))</f>
        <v>#NAME?</v>
      </c>
      <c r="M23" s="108" t="e">
        <f t="shared" ref="M23" ca="1" si="7">IF(M24=0,"",(M21)+(M22))</f>
        <v>#NAME?</v>
      </c>
      <c r="N23" s="108" t="e">
        <f t="shared" ref="N23" ca="1" si="8">IF(N24=0,"",(N21)+(N22))</f>
        <v>#NAME?</v>
      </c>
      <c r="O23" s="108" t="e">
        <f t="shared" ref="O23" ca="1" si="9">IF(O24=0,"",(O21)+(O22))</f>
        <v>#NAME?</v>
      </c>
      <c r="P23" s="108" t="e">
        <f t="shared" ref="P23" ca="1" si="10">IF(P24=0,"",(P21)+(P22))</f>
        <v>#NAME?</v>
      </c>
      <c r="Q23" s="108" t="e">
        <f t="shared" ref="Q23" ca="1" si="11">IF(Q24=0,"",(Q21)+(Q22))</f>
        <v>#NAME?</v>
      </c>
      <c r="R23" s="108" t="e">
        <f t="shared" ref="R23" ca="1" si="12">IF(R24=0,"",(R21)+(R22))</f>
        <v>#NAME?</v>
      </c>
      <c r="S23" s="108" t="e">
        <f t="shared" ref="S23" ca="1" si="13">IF(S24=0,"",(S21)+(S22))</f>
        <v>#NAME?</v>
      </c>
      <c r="T23" s="108" t="e">
        <f t="shared" ref="T23" ca="1" si="14">IF(T24=0,"",(T21)+(T22))</f>
        <v>#NAME?</v>
      </c>
      <c r="U23" s="108" t="e">
        <f t="shared" ref="U23" ca="1" si="15">IF(U24=0,"",(U21)+(U22))</f>
        <v>#NAME?</v>
      </c>
      <c r="V23" s="39" t="e">
        <f ca="1">IFERROR(SUM(J23:U23)/COUNTIF(J23:U23,"&gt;0.0"),NA())</f>
        <v>#N/A</v>
      </c>
      <c r="W23" s="486"/>
      <c r="X23" s="486"/>
      <c r="Y23" s="20"/>
      <c r="Z23" s="20"/>
      <c r="AA23" s="20"/>
    </row>
    <row r="24" spans="1:27" ht="18.75" hidden="1" customHeight="1">
      <c r="A24" s="20"/>
      <c r="B24" s="20"/>
      <c r="C24" s="20"/>
      <c r="D24" s="199"/>
      <c r="E24" s="199"/>
      <c r="F24" s="184"/>
      <c r="G24" s="185"/>
      <c r="H24" s="185"/>
      <c r="I24" s="186"/>
      <c r="J24" s="108" t="e">
        <f ca="1">IF(ColorIndex('Student Details'!L28)&gt;5,0,IF(ColorIndex('Student Details'!L28)=5,1,IF(ColorIndex('Student Details'!L28)=4,2,3)))</f>
        <v>#NAME?</v>
      </c>
      <c r="K24" s="108" t="e">
        <f ca="1">IF(ColorIndex('Student Details'!M28)&gt;5,0,IF(ColorIndex('Student Details'!M28)=5,1,IF(ColorIndex('Student Details'!M28)=4,2,3)))</f>
        <v>#NAME?</v>
      </c>
      <c r="L24" s="108" t="e">
        <f ca="1">IF(ColorIndex('Student Details'!N28)&gt;5,0,IF(ColorIndex('Student Details'!N28)=5,1,IF(ColorIndex('Student Details'!N28)=4,2,3)))</f>
        <v>#NAME?</v>
      </c>
      <c r="M24" s="108" t="e">
        <f ca="1">IF(ColorIndex('Student Details'!O28)&gt;5,0,IF(ColorIndex('Student Details'!O28)=5,1,IF(ColorIndex('Student Details'!O28)=4,2,3)))</f>
        <v>#NAME?</v>
      </c>
      <c r="N24" s="108" t="e">
        <f ca="1">IF(ColorIndex('Student Details'!P28)&gt;5,0,IF(ColorIndex('Student Details'!P28)=5,1,IF(ColorIndex('Student Details'!P28)=4,2,3)))</f>
        <v>#NAME?</v>
      </c>
      <c r="O24" s="108" t="e">
        <f ca="1">IF(ColorIndex('Student Details'!Q28)&gt;5,0,IF(ColorIndex('Student Details'!Q28)=5,1,IF(ColorIndex('Student Details'!Q28)=4,2,3)))</f>
        <v>#NAME?</v>
      </c>
      <c r="P24" s="108" t="e">
        <f ca="1">IF(ColorIndex('Student Details'!R28)&gt;5,0,IF(ColorIndex('Student Details'!R28)=5,1,IF(ColorIndex('Student Details'!R28)=4,2,3)))</f>
        <v>#NAME?</v>
      </c>
      <c r="Q24" s="108" t="e">
        <f ca="1">IF(ColorIndex('Student Details'!S28)&gt;5,0,IF(ColorIndex('Student Details'!S28)=5,1,IF(ColorIndex('Student Details'!S28)=4,2,3)))</f>
        <v>#NAME?</v>
      </c>
      <c r="R24" s="108" t="e">
        <f ca="1">IF(ColorIndex('Student Details'!T28)&gt;5,0,IF(ColorIndex('Student Details'!T28)=5,1,IF(ColorIndex('Student Details'!T28)=4,2,3)))</f>
        <v>#NAME?</v>
      </c>
      <c r="S24" s="108" t="e">
        <f ca="1">IF(ColorIndex('Student Details'!U28)&gt;5,0,IF(ColorIndex('Student Details'!U28)=5,1,IF(ColorIndex('Student Details'!U28)=4,2,3)))</f>
        <v>#NAME?</v>
      </c>
      <c r="T24" s="108" t="e">
        <f ca="1">IF(ColorIndex('Student Details'!V28)&gt;5,0,IF(ColorIndex('Student Details'!V28)=5,1,IF(ColorIndex('Student Details'!V28)=4,2,3)))</f>
        <v>#NAME?</v>
      </c>
      <c r="U24" s="108" t="e">
        <f ca="1">IF(ColorIndex('Student Details'!W28)&gt;5,0,IF(ColorIndex('Student Details'!W28)=5,1,IF(ColorIndex('Student Details'!W28)=4,2,3)))</f>
        <v>#NAME?</v>
      </c>
      <c r="V24" s="39"/>
      <c r="W24" s="187"/>
      <c r="X24" s="187"/>
      <c r="Y24" s="20"/>
      <c r="Z24" s="20"/>
      <c r="AA24" s="20"/>
    </row>
    <row r="25" spans="1:27" ht="18.75" hidden="1" customHeight="1">
      <c r="A25" s="20"/>
      <c r="B25" s="20"/>
      <c r="C25" s="20"/>
      <c r="D25" s="478" t="str">
        <f>'Student List'!$F$16</f>
        <v>C0.3</v>
      </c>
      <c r="E25" s="478"/>
      <c r="F25" s="524" t="s">
        <v>118</v>
      </c>
      <c r="G25" s="525"/>
      <c r="H25" s="197" t="s">
        <v>119</v>
      </c>
      <c r="I25" s="198">
        <f>$H$6</f>
        <v>2.5737704918032787</v>
      </c>
      <c r="J25" s="53" t="e">
        <f ca="1">IF(J28=0,"",IF(J$16="","",$I25*$T$3))</f>
        <v>#NAME?</v>
      </c>
      <c r="K25" s="53" t="e">
        <f t="shared" ref="K25:U25" ca="1" si="16">IF(K28=0,"",IF(K$16="","",$I25*$T$3))</f>
        <v>#NAME?</v>
      </c>
      <c r="L25" s="53" t="e">
        <f t="shared" ca="1" si="16"/>
        <v>#NAME?</v>
      </c>
      <c r="M25" s="53" t="e">
        <f t="shared" ca="1" si="16"/>
        <v>#NAME?</v>
      </c>
      <c r="N25" s="53" t="e">
        <f t="shared" ca="1" si="16"/>
        <v>#NAME?</v>
      </c>
      <c r="O25" s="53" t="e">
        <f t="shared" ca="1" si="16"/>
        <v>#NAME?</v>
      </c>
      <c r="P25" s="53" t="e">
        <f t="shared" ca="1" si="16"/>
        <v>#NAME?</v>
      </c>
      <c r="Q25" s="53" t="e">
        <f t="shared" ca="1" si="16"/>
        <v>#NAME?</v>
      </c>
      <c r="R25" s="53" t="e">
        <f t="shared" ca="1" si="16"/>
        <v>#NAME?</v>
      </c>
      <c r="S25" s="53" t="e">
        <f t="shared" ca="1" si="16"/>
        <v>#NAME?</v>
      </c>
      <c r="T25" s="53" t="e">
        <f t="shared" ca="1" si="16"/>
        <v>#NAME?</v>
      </c>
      <c r="U25" s="53" t="e">
        <f t="shared" ca="1" si="16"/>
        <v>#NAME?</v>
      </c>
      <c r="V25" s="39" t="e">
        <f ca="1">IFERROR(SUM(J25:U25)/COUNTIF(J25:U25,"&gt;0.0"),NA())</f>
        <v>#N/A</v>
      </c>
      <c r="W25" s="484" t="e">
        <f ca="1">(SUMIF(J27:U27,"&gt;0.0")/SUMIF(J28:U28,"&gt;0.0"))*100</f>
        <v>#DIV/0!</v>
      </c>
      <c r="X25" s="484" t="e">
        <f ca="1">IF(W25&gt;($Z$3*100),"Yes","No")</f>
        <v>#DIV/0!</v>
      </c>
      <c r="Y25" s="20"/>
      <c r="Z25" s="20"/>
      <c r="AA25" s="20"/>
    </row>
    <row r="26" spans="1:27" ht="18.75" hidden="1" customHeight="1">
      <c r="A26" s="20"/>
      <c r="B26" s="20"/>
      <c r="C26" s="20"/>
      <c r="D26" s="478"/>
      <c r="E26" s="478"/>
      <c r="F26" s="527" t="s">
        <v>66</v>
      </c>
      <c r="G26" s="527"/>
      <c r="H26" s="527"/>
      <c r="I26" s="527"/>
      <c r="J26" s="53" t="e">
        <f ca="1">IF(J28=0,"",IFERROR(J$16*$T$4,""))</f>
        <v>#NAME?</v>
      </c>
      <c r="K26" s="53" t="e">
        <f t="shared" ref="K26:U26" ca="1" si="17">IF(K28=0,"",IFERROR(K$16*$T$4,""))</f>
        <v>#NAME?</v>
      </c>
      <c r="L26" s="53" t="e">
        <f t="shared" ca="1" si="17"/>
        <v>#NAME?</v>
      </c>
      <c r="M26" s="53" t="e">
        <f t="shared" ca="1" si="17"/>
        <v>#NAME?</v>
      </c>
      <c r="N26" s="53" t="e">
        <f t="shared" ca="1" si="17"/>
        <v>#NAME?</v>
      </c>
      <c r="O26" s="53" t="e">
        <f t="shared" ca="1" si="17"/>
        <v>#NAME?</v>
      </c>
      <c r="P26" s="53" t="e">
        <f t="shared" ca="1" si="17"/>
        <v>#NAME?</v>
      </c>
      <c r="Q26" s="53" t="e">
        <f t="shared" ca="1" si="17"/>
        <v>#NAME?</v>
      </c>
      <c r="R26" s="53" t="e">
        <f t="shared" ca="1" si="17"/>
        <v>#NAME?</v>
      </c>
      <c r="S26" s="53" t="e">
        <f t="shared" ca="1" si="17"/>
        <v>#NAME?</v>
      </c>
      <c r="T26" s="53" t="e">
        <f t="shared" ca="1" si="17"/>
        <v>#NAME?</v>
      </c>
      <c r="U26" s="53" t="e">
        <f t="shared" ca="1" si="17"/>
        <v>#NAME?</v>
      </c>
      <c r="V26" s="39"/>
      <c r="W26" s="485"/>
      <c r="X26" s="485"/>
      <c r="Y26" s="20"/>
      <c r="Z26" s="20"/>
      <c r="AA26" s="20"/>
    </row>
    <row r="27" spans="1:27" ht="18.75" hidden="1" customHeight="1">
      <c r="A27" s="20"/>
      <c r="B27" s="20"/>
      <c r="C27" s="20"/>
      <c r="D27" s="478"/>
      <c r="E27" s="478"/>
      <c r="F27" s="481" t="str">
        <f>D25 &amp; "     Attainment"</f>
        <v>C0.3     Attainment</v>
      </c>
      <c r="G27" s="482"/>
      <c r="H27" s="482"/>
      <c r="I27" s="483"/>
      <c r="J27" s="108" t="e">
        <f ca="1">IF(J28=0,"",(J25)+(J26))</f>
        <v>#NAME?</v>
      </c>
      <c r="K27" s="108" t="e">
        <f t="shared" ref="K27" ca="1" si="18">IF(K28=0,"",(K25)+(K26))</f>
        <v>#NAME?</v>
      </c>
      <c r="L27" s="108" t="e">
        <f t="shared" ref="L27" ca="1" si="19">IF(L28=0,"",(L25)+(L26))</f>
        <v>#NAME?</v>
      </c>
      <c r="M27" s="108" t="e">
        <f t="shared" ref="M27" ca="1" si="20">IF(M28=0,"",(M25)+(M26))</f>
        <v>#NAME?</v>
      </c>
      <c r="N27" s="108" t="e">
        <f t="shared" ref="N27" ca="1" si="21">IF(N28=0,"",(N25)+(N26))</f>
        <v>#NAME?</v>
      </c>
      <c r="O27" s="108" t="e">
        <f t="shared" ref="O27" ca="1" si="22">IF(O28=0,"",(O25)+(O26))</f>
        <v>#NAME?</v>
      </c>
      <c r="P27" s="108" t="e">
        <f t="shared" ref="P27" ca="1" si="23">IF(P28=0,"",(P25)+(P26))</f>
        <v>#NAME?</v>
      </c>
      <c r="Q27" s="108" t="e">
        <f t="shared" ref="Q27" ca="1" si="24">IF(Q28=0,"",(Q25)+(Q26))</f>
        <v>#NAME?</v>
      </c>
      <c r="R27" s="108" t="e">
        <f t="shared" ref="R27" ca="1" si="25">IF(R28=0,"",(R25)+(R26))</f>
        <v>#NAME?</v>
      </c>
      <c r="S27" s="108" t="e">
        <f t="shared" ref="S27" ca="1" si="26">IF(S28=0,"",(S25)+(S26))</f>
        <v>#NAME?</v>
      </c>
      <c r="T27" s="108" t="e">
        <f t="shared" ref="T27" ca="1" si="27">IF(T28=0,"",(T25)+(T26))</f>
        <v>#NAME?</v>
      </c>
      <c r="U27" s="108" t="e">
        <f t="shared" ref="U27" ca="1" si="28">IF(U28=0,"",(U25)+(U26))</f>
        <v>#NAME?</v>
      </c>
      <c r="V27" s="39">
        <f ca="1">IFERROR(SUM(J27:U27)/COUNTIF(J27:U27,"&gt;0.0"),0)</f>
        <v>0</v>
      </c>
      <c r="W27" s="486"/>
      <c r="X27" s="486"/>
      <c r="Y27" s="20"/>
      <c r="Z27" s="20"/>
      <c r="AA27" s="20"/>
    </row>
    <row r="28" spans="1:27" ht="18.75" hidden="1" customHeight="1">
      <c r="A28" s="20"/>
      <c r="B28" s="20"/>
      <c r="C28" s="20"/>
      <c r="D28" s="199"/>
      <c r="E28" s="199"/>
      <c r="F28" s="184"/>
      <c r="G28" s="185"/>
      <c r="H28" s="185"/>
      <c r="I28" s="186"/>
      <c r="J28" s="108" t="e">
        <f ca="1">IF(ColorIndex('Student Details'!L29)&gt;5,0,IF(ColorIndex('Student Details'!L29)=5,1,IF(ColorIndex('Student Details'!L29)=4,2,3)))</f>
        <v>#NAME?</v>
      </c>
      <c r="K28" s="108" t="e">
        <f ca="1">IF(ColorIndex('Student Details'!M29)&gt;5,0,IF(ColorIndex('Student Details'!M29)=5,1,IF(ColorIndex('Student Details'!M29)=4,2,3)))</f>
        <v>#NAME?</v>
      </c>
      <c r="L28" s="108" t="e">
        <f ca="1">IF(ColorIndex('Student Details'!N29)&gt;5,0,IF(ColorIndex('Student Details'!N29)=5,1,IF(ColorIndex('Student Details'!N29)=4,2,3)))</f>
        <v>#NAME?</v>
      </c>
      <c r="M28" s="108" t="e">
        <f ca="1">IF(ColorIndex('Student Details'!O29)&gt;5,0,IF(ColorIndex('Student Details'!O29)=5,1,IF(ColorIndex('Student Details'!O29)=4,2,3)))</f>
        <v>#NAME?</v>
      </c>
      <c r="N28" s="108" t="e">
        <f ca="1">IF(ColorIndex('Student Details'!P29)&gt;5,0,IF(ColorIndex('Student Details'!P29)=5,1,IF(ColorIndex('Student Details'!P29)=4,2,3)))</f>
        <v>#NAME?</v>
      </c>
      <c r="O28" s="108" t="e">
        <f ca="1">IF(ColorIndex('Student Details'!Q29)&gt;5,0,IF(ColorIndex('Student Details'!Q29)=5,1,IF(ColorIndex('Student Details'!Q29)=4,2,3)))</f>
        <v>#NAME?</v>
      </c>
      <c r="P28" s="108" t="e">
        <f ca="1">IF(ColorIndex('Student Details'!R29)&gt;5,0,IF(ColorIndex('Student Details'!R29)=5,1,IF(ColorIndex('Student Details'!R29)=4,2,3)))</f>
        <v>#NAME?</v>
      </c>
      <c r="Q28" s="108" t="e">
        <f ca="1">IF(ColorIndex('Student Details'!S29)&gt;5,0,IF(ColorIndex('Student Details'!S29)=5,1,IF(ColorIndex('Student Details'!S29)=4,2,3)))</f>
        <v>#NAME?</v>
      </c>
      <c r="R28" s="108" t="e">
        <f ca="1">IF(ColorIndex('Student Details'!T29)&gt;5,0,IF(ColorIndex('Student Details'!T29)=5,1,IF(ColorIndex('Student Details'!T29)=4,2,3)))</f>
        <v>#NAME?</v>
      </c>
      <c r="S28" s="108" t="e">
        <f ca="1">IF(ColorIndex('Student Details'!U29)&gt;5,0,IF(ColorIndex('Student Details'!U29)=5,1,IF(ColorIndex('Student Details'!U29)=4,2,3)))</f>
        <v>#NAME?</v>
      </c>
      <c r="T28" s="108" t="e">
        <f ca="1">IF(ColorIndex('Student Details'!V29)&gt;5,0,IF(ColorIndex('Student Details'!V29)=5,1,IF(ColorIndex('Student Details'!V29)=4,2,3)))</f>
        <v>#NAME?</v>
      </c>
      <c r="U28" s="108" t="e">
        <f ca="1">IF(ColorIndex('Student Details'!W29)&gt;5,0,IF(ColorIndex('Student Details'!W29)=5,1,IF(ColorIndex('Student Details'!W29)=4,2,3)))</f>
        <v>#NAME?</v>
      </c>
      <c r="V28" s="39"/>
      <c r="W28" s="187"/>
      <c r="X28" s="187"/>
      <c r="Y28" s="20"/>
      <c r="Z28" s="20"/>
      <c r="AA28" s="20"/>
    </row>
    <row r="29" spans="1:27" ht="18.75" hidden="1" customHeight="1">
      <c r="A29" s="20"/>
      <c r="B29" s="20"/>
      <c r="C29" s="20"/>
      <c r="D29" s="478" t="str">
        <f>'Student List'!$F$18</f>
        <v>C0.4</v>
      </c>
      <c r="E29" s="478"/>
      <c r="F29" s="524" t="s">
        <v>118</v>
      </c>
      <c r="G29" s="525"/>
      <c r="H29" s="197" t="s">
        <v>119</v>
      </c>
      <c r="I29" s="198">
        <f>$H$7</f>
        <v>2.8032786885245899</v>
      </c>
      <c r="J29" s="53" t="e">
        <f ca="1">IF(J32=0,"",IF(J$16="","",$I29*$T$3))</f>
        <v>#NAME?</v>
      </c>
      <c r="K29" s="53" t="e">
        <f t="shared" ref="K29:U29" ca="1" si="29">IF(K32=0,"",IF(K$16="","",$I29*$T$3))</f>
        <v>#NAME?</v>
      </c>
      <c r="L29" s="53" t="e">
        <f t="shared" ca="1" si="29"/>
        <v>#NAME?</v>
      </c>
      <c r="M29" s="53" t="e">
        <f t="shared" ca="1" si="29"/>
        <v>#NAME?</v>
      </c>
      <c r="N29" s="53" t="e">
        <f t="shared" ca="1" si="29"/>
        <v>#NAME?</v>
      </c>
      <c r="O29" s="53" t="e">
        <f t="shared" ca="1" si="29"/>
        <v>#NAME?</v>
      </c>
      <c r="P29" s="53" t="e">
        <f t="shared" ca="1" si="29"/>
        <v>#NAME?</v>
      </c>
      <c r="Q29" s="53" t="e">
        <f t="shared" ca="1" si="29"/>
        <v>#NAME?</v>
      </c>
      <c r="R29" s="53" t="e">
        <f t="shared" ca="1" si="29"/>
        <v>#NAME?</v>
      </c>
      <c r="S29" s="53" t="e">
        <f t="shared" ca="1" si="29"/>
        <v>#NAME?</v>
      </c>
      <c r="T29" s="53" t="e">
        <f t="shared" ca="1" si="29"/>
        <v>#NAME?</v>
      </c>
      <c r="U29" s="53" t="e">
        <f t="shared" ca="1" si="29"/>
        <v>#NAME?</v>
      </c>
      <c r="V29" s="39" t="e">
        <f ca="1">IFERROR(SUM(J29:U29)/COUNTIF(J29:U29,"&gt;0.0"),NA())</f>
        <v>#N/A</v>
      </c>
      <c r="W29" s="484" t="e">
        <f ca="1">(SUMIF(J31:U31,"&gt;0.0")/SUMIF(J32:U32,"&gt;0.0"))*100</f>
        <v>#DIV/0!</v>
      </c>
      <c r="X29" s="484" t="e">
        <f ca="1">IF(W29&gt;($Z$3*100),"Yes","No")</f>
        <v>#DIV/0!</v>
      </c>
      <c r="Y29" s="20"/>
      <c r="Z29" s="20"/>
      <c r="AA29" s="20"/>
    </row>
    <row r="30" spans="1:27" ht="18.75" hidden="1" customHeight="1">
      <c r="A30" s="20"/>
      <c r="B30" s="20"/>
      <c r="C30" s="20"/>
      <c r="D30" s="478"/>
      <c r="E30" s="478"/>
      <c r="F30" s="527" t="s">
        <v>66</v>
      </c>
      <c r="G30" s="527"/>
      <c r="H30" s="527"/>
      <c r="I30" s="527"/>
      <c r="J30" s="53" t="e">
        <f ca="1">IF(J32=0,"",IFERROR(J$16*$T$4,""))</f>
        <v>#NAME?</v>
      </c>
      <c r="K30" s="53" t="e">
        <f t="shared" ref="K30:U30" ca="1" si="30">IF(K32=0,"",IFERROR(K$16*$T$4,""))</f>
        <v>#NAME?</v>
      </c>
      <c r="L30" s="53" t="e">
        <f t="shared" ca="1" si="30"/>
        <v>#NAME?</v>
      </c>
      <c r="M30" s="53" t="e">
        <f t="shared" ca="1" si="30"/>
        <v>#NAME?</v>
      </c>
      <c r="N30" s="53" t="e">
        <f t="shared" ca="1" si="30"/>
        <v>#NAME?</v>
      </c>
      <c r="O30" s="53" t="e">
        <f t="shared" ca="1" si="30"/>
        <v>#NAME?</v>
      </c>
      <c r="P30" s="53" t="e">
        <f t="shared" ca="1" si="30"/>
        <v>#NAME?</v>
      </c>
      <c r="Q30" s="53" t="e">
        <f t="shared" ca="1" si="30"/>
        <v>#NAME?</v>
      </c>
      <c r="R30" s="53" t="e">
        <f t="shared" ca="1" si="30"/>
        <v>#NAME?</v>
      </c>
      <c r="S30" s="53" t="e">
        <f t="shared" ca="1" si="30"/>
        <v>#NAME?</v>
      </c>
      <c r="T30" s="53" t="e">
        <f t="shared" ca="1" si="30"/>
        <v>#NAME?</v>
      </c>
      <c r="U30" s="53" t="e">
        <f t="shared" ca="1" si="30"/>
        <v>#NAME?</v>
      </c>
      <c r="V30" s="39"/>
      <c r="W30" s="485"/>
      <c r="X30" s="485"/>
      <c r="Y30" s="20"/>
      <c r="Z30" s="20"/>
      <c r="AA30" s="20"/>
    </row>
    <row r="31" spans="1:27" ht="18.75" hidden="1" customHeight="1">
      <c r="A31" s="20"/>
      <c r="B31" s="20"/>
      <c r="C31" s="20"/>
      <c r="D31" s="478"/>
      <c r="E31" s="478"/>
      <c r="F31" s="481" t="str">
        <f>D29 &amp; "     Attainment"</f>
        <v>C0.4     Attainment</v>
      </c>
      <c r="G31" s="482"/>
      <c r="H31" s="482"/>
      <c r="I31" s="483"/>
      <c r="J31" s="108" t="e">
        <f ca="1">IF(J32=0,"",(J29)+(J30))</f>
        <v>#NAME?</v>
      </c>
      <c r="K31" s="108" t="e">
        <f t="shared" ref="K31" ca="1" si="31">IF(K32=0,"",(K29)+(K30))</f>
        <v>#NAME?</v>
      </c>
      <c r="L31" s="108" t="e">
        <f t="shared" ref="L31" ca="1" si="32">IF(L32=0,"",(L29)+(L30))</f>
        <v>#NAME?</v>
      </c>
      <c r="M31" s="108" t="e">
        <f t="shared" ref="M31" ca="1" si="33">IF(M32=0,"",(M29)+(M30))</f>
        <v>#NAME?</v>
      </c>
      <c r="N31" s="108" t="e">
        <f t="shared" ref="N31" ca="1" si="34">IF(N32=0,"",(N29)+(N30))</f>
        <v>#NAME?</v>
      </c>
      <c r="O31" s="108" t="e">
        <f t="shared" ref="O31" ca="1" si="35">IF(O32=0,"",(O29)+(O30))</f>
        <v>#NAME?</v>
      </c>
      <c r="P31" s="108" t="e">
        <f t="shared" ref="P31" ca="1" si="36">IF(P32=0,"",(P29)+(P30))</f>
        <v>#NAME?</v>
      </c>
      <c r="Q31" s="108" t="e">
        <f t="shared" ref="Q31" ca="1" si="37">IF(Q32=0,"",(Q29)+(Q30))</f>
        <v>#NAME?</v>
      </c>
      <c r="R31" s="108" t="e">
        <f t="shared" ref="R31" ca="1" si="38">IF(R32=0,"",(R29)+(R30))</f>
        <v>#NAME?</v>
      </c>
      <c r="S31" s="108" t="e">
        <f t="shared" ref="S31" ca="1" si="39">IF(S32=0,"",(S29)+(S30))</f>
        <v>#NAME?</v>
      </c>
      <c r="T31" s="108" t="e">
        <f t="shared" ref="T31" ca="1" si="40">IF(T32=0,"",(T29)+(T30))</f>
        <v>#NAME?</v>
      </c>
      <c r="U31" s="108" t="e">
        <f t="shared" ref="U31" ca="1" si="41">IF(U32=0,"",(U29)+(U30))</f>
        <v>#NAME?</v>
      </c>
      <c r="V31" s="39" t="e">
        <f ca="1">IFERROR(SUM(J31:U31)/COUNTIF(J31:U31,"&gt;0.0"),NA())</f>
        <v>#N/A</v>
      </c>
      <c r="W31" s="486"/>
      <c r="X31" s="486"/>
      <c r="Y31" s="20"/>
      <c r="Z31" s="20"/>
      <c r="AA31" s="20"/>
    </row>
    <row r="32" spans="1:27" ht="18.75" hidden="1" customHeight="1">
      <c r="A32" s="20"/>
      <c r="B32" s="20"/>
      <c r="C32" s="20"/>
      <c r="D32" s="199"/>
      <c r="E32" s="199"/>
      <c r="F32" s="184"/>
      <c r="G32" s="185"/>
      <c r="H32" s="185"/>
      <c r="I32" s="186"/>
      <c r="J32" s="108" t="e">
        <f ca="1">IF(ColorIndex('Student Details'!L30)&gt;5,0,IF(ColorIndex('Student Details'!L30)=5,1,IF(ColorIndex('Student Details'!L30)=4,2,3)))</f>
        <v>#NAME?</v>
      </c>
      <c r="K32" s="108" t="e">
        <f ca="1">IF(ColorIndex('Student Details'!M30)&gt;5,0,IF(ColorIndex('Student Details'!M30)=5,1,IF(ColorIndex('Student Details'!M30)=4,2,3)))</f>
        <v>#NAME?</v>
      </c>
      <c r="L32" s="108" t="e">
        <f ca="1">IF(ColorIndex('Student Details'!N30)&gt;5,0,IF(ColorIndex('Student Details'!N30)=5,1,IF(ColorIndex('Student Details'!N30)=4,2,3)))</f>
        <v>#NAME?</v>
      </c>
      <c r="M32" s="108" t="e">
        <f ca="1">IF(ColorIndex('Student Details'!O30)&gt;5,0,IF(ColorIndex('Student Details'!O30)=5,1,IF(ColorIndex('Student Details'!O30)=4,2,3)))</f>
        <v>#NAME?</v>
      </c>
      <c r="N32" s="108" t="e">
        <f ca="1">IF(ColorIndex('Student Details'!P30)&gt;5,0,IF(ColorIndex('Student Details'!P30)=5,1,IF(ColorIndex('Student Details'!P30)=4,2,3)))</f>
        <v>#NAME?</v>
      </c>
      <c r="O32" s="108" t="e">
        <f ca="1">IF(ColorIndex('Student Details'!Q30)&gt;5,0,IF(ColorIndex('Student Details'!Q30)=5,1,IF(ColorIndex('Student Details'!Q30)=4,2,3)))</f>
        <v>#NAME?</v>
      </c>
      <c r="P32" s="108" t="e">
        <f ca="1">IF(ColorIndex('Student Details'!R30)&gt;5,0,IF(ColorIndex('Student Details'!R30)=5,1,IF(ColorIndex('Student Details'!R30)=4,2,3)))</f>
        <v>#NAME?</v>
      </c>
      <c r="Q32" s="108" t="e">
        <f ca="1">IF(ColorIndex('Student Details'!S30)&gt;5,0,IF(ColorIndex('Student Details'!S30)=5,1,IF(ColorIndex('Student Details'!S30)=4,2,3)))</f>
        <v>#NAME?</v>
      </c>
      <c r="R32" s="108" t="e">
        <f ca="1">IF(ColorIndex('Student Details'!T30)&gt;5,0,IF(ColorIndex('Student Details'!T30)=5,1,IF(ColorIndex('Student Details'!T30)=4,2,3)))</f>
        <v>#NAME?</v>
      </c>
      <c r="S32" s="108" t="e">
        <f ca="1">IF(ColorIndex('Student Details'!U30)&gt;5,0,IF(ColorIndex('Student Details'!U30)=5,1,IF(ColorIndex('Student Details'!U30)=4,2,3)))</f>
        <v>#NAME?</v>
      </c>
      <c r="T32" s="108" t="e">
        <f ca="1">IF(ColorIndex('Student Details'!V30)&gt;5,0,IF(ColorIndex('Student Details'!V30)=5,1,IF(ColorIndex('Student Details'!V30)=4,2,3)))</f>
        <v>#NAME?</v>
      </c>
      <c r="U32" s="108" t="e">
        <f ca="1">IF(ColorIndex('Student Details'!W30)&gt;5,0,IF(ColorIndex('Student Details'!W30)=5,1,IF(ColorIndex('Student Details'!W30)=4,2,3)))</f>
        <v>#NAME?</v>
      </c>
      <c r="V32" s="39"/>
      <c r="W32" s="187"/>
      <c r="X32" s="187"/>
      <c r="Y32" s="20"/>
      <c r="Z32" s="20"/>
      <c r="AA32" s="20"/>
    </row>
    <row r="33" spans="1:27" ht="18.75" hidden="1" customHeight="1">
      <c r="A33" s="20"/>
      <c r="B33" s="20"/>
      <c r="C33" s="20"/>
      <c r="D33" s="478" t="str">
        <f>'Student List'!$F$20</f>
        <v>C0.5</v>
      </c>
      <c r="E33" s="478"/>
      <c r="F33" s="524" t="s">
        <v>118</v>
      </c>
      <c r="G33" s="525"/>
      <c r="H33" s="197" t="s">
        <v>119</v>
      </c>
      <c r="I33" s="198">
        <f>$H$8</f>
        <v>2.6885245901639343</v>
      </c>
      <c r="J33" s="53" t="e">
        <f ca="1">IF(J36=0,"",IF(J$16="","",$I33*$T$3))</f>
        <v>#NAME?</v>
      </c>
      <c r="K33" s="53" t="e">
        <f t="shared" ref="K33:U33" ca="1" si="42">IF(K36=0,"",IF(K$16="","",$I33*$T$3))</f>
        <v>#NAME?</v>
      </c>
      <c r="L33" s="53" t="e">
        <f t="shared" ca="1" si="42"/>
        <v>#NAME?</v>
      </c>
      <c r="M33" s="53" t="e">
        <f t="shared" ca="1" si="42"/>
        <v>#NAME?</v>
      </c>
      <c r="N33" s="53" t="e">
        <f t="shared" ca="1" si="42"/>
        <v>#NAME?</v>
      </c>
      <c r="O33" s="53" t="e">
        <f t="shared" ca="1" si="42"/>
        <v>#NAME?</v>
      </c>
      <c r="P33" s="53" t="e">
        <f t="shared" ca="1" si="42"/>
        <v>#NAME?</v>
      </c>
      <c r="Q33" s="53" t="e">
        <f t="shared" ca="1" si="42"/>
        <v>#NAME?</v>
      </c>
      <c r="R33" s="53" t="e">
        <f t="shared" ca="1" si="42"/>
        <v>#NAME?</v>
      </c>
      <c r="S33" s="53" t="e">
        <f t="shared" ca="1" si="42"/>
        <v>#NAME?</v>
      </c>
      <c r="T33" s="53" t="e">
        <f t="shared" ca="1" si="42"/>
        <v>#NAME?</v>
      </c>
      <c r="U33" s="53" t="e">
        <f t="shared" ca="1" si="42"/>
        <v>#NAME?</v>
      </c>
      <c r="V33" s="39" t="e">
        <f ca="1">IFERROR(SUM(J33:U33)/COUNTIF(J33:U33,"&gt;0.0"),NA())</f>
        <v>#N/A</v>
      </c>
      <c r="W33" s="484" t="e">
        <f ca="1">(SUMIF(J35:U35,"&gt;0.0")/SUMIF(J36:U36,"&gt;0.0"))*100</f>
        <v>#DIV/0!</v>
      </c>
      <c r="X33" s="484" t="e">
        <f ca="1">IF(W33&gt;($Z$3*100),"Yes","No")</f>
        <v>#DIV/0!</v>
      </c>
      <c r="Y33" s="20"/>
      <c r="Z33" s="20"/>
      <c r="AA33" s="20"/>
    </row>
    <row r="34" spans="1:27" ht="18.75" hidden="1" customHeight="1">
      <c r="A34" s="20"/>
      <c r="B34" s="20"/>
      <c r="C34" s="20"/>
      <c r="D34" s="478"/>
      <c r="E34" s="478"/>
      <c r="F34" s="527" t="s">
        <v>66</v>
      </c>
      <c r="G34" s="527"/>
      <c r="H34" s="527" t="s">
        <v>66</v>
      </c>
      <c r="I34" s="527"/>
      <c r="J34" s="53" t="e">
        <f ca="1">IF(J36=0,"",IFERROR(J$16*$T$4,""))</f>
        <v>#NAME?</v>
      </c>
      <c r="K34" s="53" t="e">
        <f t="shared" ref="K34:U34" ca="1" si="43">IF(K36=0,"",IFERROR(K$16*$T$4,""))</f>
        <v>#NAME?</v>
      </c>
      <c r="L34" s="53" t="e">
        <f t="shared" ca="1" si="43"/>
        <v>#NAME?</v>
      </c>
      <c r="M34" s="53" t="e">
        <f ca="1">IF(M36=0,"",IFERROR(M$16*$T$4,""))</f>
        <v>#NAME?</v>
      </c>
      <c r="N34" s="53" t="e">
        <f t="shared" ca="1" si="43"/>
        <v>#NAME?</v>
      </c>
      <c r="O34" s="53" t="e">
        <f t="shared" ca="1" si="43"/>
        <v>#NAME?</v>
      </c>
      <c r="P34" s="53" t="e">
        <f t="shared" ca="1" si="43"/>
        <v>#NAME?</v>
      </c>
      <c r="Q34" s="53" t="e">
        <f t="shared" ca="1" si="43"/>
        <v>#NAME?</v>
      </c>
      <c r="R34" s="53" t="e">
        <f t="shared" ca="1" si="43"/>
        <v>#NAME?</v>
      </c>
      <c r="S34" s="53" t="e">
        <f t="shared" ca="1" si="43"/>
        <v>#NAME?</v>
      </c>
      <c r="T34" s="53" t="e">
        <f t="shared" ca="1" si="43"/>
        <v>#NAME?</v>
      </c>
      <c r="U34" s="53" t="e">
        <f t="shared" ca="1" si="43"/>
        <v>#NAME?</v>
      </c>
      <c r="V34" s="39"/>
      <c r="W34" s="485"/>
      <c r="X34" s="485"/>
      <c r="Y34" s="20"/>
      <c r="Z34" s="20"/>
      <c r="AA34" s="20"/>
    </row>
    <row r="35" spans="1:27" ht="18.75" hidden="1" customHeight="1">
      <c r="A35" s="20"/>
      <c r="B35" s="20"/>
      <c r="C35" s="20"/>
      <c r="D35" s="478"/>
      <c r="E35" s="478"/>
      <c r="F35" s="481" t="str">
        <f>D33 &amp; "     Attainment"</f>
        <v>C0.5     Attainment</v>
      </c>
      <c r="G35" s="482"/>
      <c r="H35" s="482"/>
      <c r="I35" s="483"/>
      <c r="J35" s="108" t="e">
        <f ca="1">IF(J36=0,"",(J33)+(J34))</f>
        <v>#NAME?</v>
      </c>
      <c r="K35" s="108" t="e">
        <f t="shared" ref="K35" ca="1" si="44">IF(K36=0,"",(K33)+(K34))</f>
        <v>#NAME?</v>
      </c>
      <c r="L35" s="108" t="e">
        <f t="shared" ref="L35" ca="1" si="45">IF(L36=0,"",(L33)+(L34))</f>
        <v>#NAME?</v>
      </c>
      <c r="M35" s="108" t="e">
        <f t="shared" ref="M35" ca="1" si="46">IF(M36=0,"",(M33)+(M34))</f>
        <v>#NAME?</v>
      </c>
      <c r="N35" s="108" t="e">
        <f t="shared" ref="N35" ca="1" si="47">IF(N36=0,"",(N33)+(N34))</f>
        <v>#NAME?</v>
      </c>
      <c r="O35" s="108" t="e">
        <f t="shared" ref="O35" ca="1" si="48">IF(O36=0,"",(O33)+(O34))</f>
        <v>#NAME?</v>
      </c>
      <c r="P35" s="108" t="e">
        <f t="shared" ref="P35" ca="1" si="49">IF(P36=0,"",(P33)+(P34))</f>
        <v>#NAME?</v>
      </c>
      <c r="Q35" s="108" t="e">
        <f t="shared" ref="Q35" ca="1" si="50">IF(Q36=0,"",(Q33)+(Q34))</f>
        <v>#NAME?</v>
      </c>
      <c r="R35" s="108" t="e">
        <f t="shared" ref="R35" ca="1" si="51">IF(R36=0,"",(R33)+(R34))</f>
        <v>#NAME?</v>
      </c>
      <c r="S35" s="108" t="e">
        <f t="shared" ref="S35" ca="1" si="52">IF(S36=0,"",(S33)+(S34))</f>
        <v>#NAME?</v>
      </c>
      <c r="T35" s="108" t="e">
        <f t="shared" ref="T35" ca="1" si="53">IF(T36=0,"",(T33)+(T34))</f>
        <v>#NAME?</v>
      </c>
      <c r="U35" s="108" t="e">
        <f t="shared" ref="U35" ca="1" si="54">IF(U36=0,"",(U33)+(U34))</f>
        <v>#NAME?</v>
      </c>
      <c r="V35" s="39" t="e">
        <f ca="1">IFERROR(SUM(J35:U35)/COUNTIF(J35:U35,"&gt;0.0"),NA())</f>
        <v>#N/A</v>
      </c>
      <c r="W35" s="486"/>
      <c r="X35" s="486"/>
      <c r="Y35" s="20"/>
      <c r="Z35" s="20"/>
      <c r="AA35" s="20"/>
    </row>
    <row r="36" spans="1:27" ht="18.75" hidden="1" customHeight="1">
      <c r="A36" s="20"/>
      <c r="B36" s="20"/>
      <c r="C36" s="20"/>
      <c r="D36" s="199"/>
      <c r="E36" s="199"/>
      <c r="F36" s="184"/>
      <c r="G36" s="185"/>
      <c r="H36" s="185"/>
      <c r="I36" s="186"/>
      <c r="J36" s="108" t="e">
        <f ca="1">IF(ColorIndex('Student Details'!L31)&gt;5,0,IF(ColorIndex('Student Details'!L31)=5,1,IF(ColorIndex('Student Details'!L31)=4,2,3)))</f>
        <v>#NAME?</v>
      </c>
      <c r="K36" s="108" t="e">
        <f ca="1">IF(ColorIndex('Student Details'!M31)&gt;5,0,IF(ColorIndex('Student Details'!M31)=5,1,IF(ColorIndex('Student Details'!M31)=4,2,3)))</f>
        <v>#NAME?</v>
      </c>
      <c r="L36" s="108" t="e">
        <f ca="1">IF(ColorIndex('Student Details'!N31)&gt;5,0,IF(ColorIndex('Student Details'!N31)=5,1,IF(ColorIndex('Student Details'!N31)=4,2,3)))</f>
        <v>#NAME?</v>
      </c>
      <c r="M36" s="108" t="e">
        <f ca="1">IF(ColorIndex('Student Details'!O31)&gt;5,0,IF(ColorIndex('Student Details'!O31)=5,1,IF(ColorIndex('Student Details'!O31)=4,2,3)))</f>
        <v>#NAME?</v>
      </c>
      <c r="N36" s="108" t="e">
        <f ca="1">IF(ColorIndex('Student Details'!P31)&gt;5,0,IF(ColorIndex('Student Details'!P31)=5,1,IF(ColorIndex('Student Details'!P31)=4,2,3)))</f>
        <v>#NAME?</v>
      </c>
      <c r="O36" s="108" t="e">
        <f ca="1">IF(ColorIndex('Student Details'!Q31)&gt;5,0,IF(ColorIndex('Student Details'!Q31)=5,1,IF(ColorIndex('Student Details'!Q31)=4,2,3)))</f>
        <v>#NAME?</v>
      </c>
      <c r="P36" s="108" t="e">
        <f ca="1">IF(ColorIndex('Student Details'!R31)&gt;5,0,IF(ColorIndex('Student Details'!R31)=5,1,IF(ColorIndex('Student Details'!R31)=4,2,3)))</f>
        <v>#NAME?</v>
      </c>
      <c r="Q36" s="108" t="e">
        <f ca="1">IF(ColorIndex('Student Details'!S31)&gt;5,0,IF(ColorIndex('Student Details'!S31)=5,1,IF(ColorIndex('Student Details'!S31)=4,2,3)))</f>
        <v>#NAME?</v>
      </c>
      <c r="R36" s="108" t="e">
        <f ca="1">IF(ColorIndex('Student Details'!T31)&gt;5,0,IF(ColorIndex('Student Details'!T31)=5,1,IF(ColorIndex('Student Details'!T31)=4,2,3)))</f>
        <v>#NAME?</v>
      </c>
      <c r="S36" s="108" t="e">
        <f ca="1">IF(ColorIndex('Student Details'!U31)&gt;5,0,IF(ColorIndex('Student Details'!U31)=5,1,IF(ColorIndex('Student Details'!U31)=4,2,3)))</f>
        <v>#NAME?</v>
      </c>
      <c r="T36" s="108" t="e">
        <f ca="1">IF(ColorIndex('Student Details'!V31)&gt;5,0,IF(ColorIndex('Student Details'!V31)=5,1,IF(ColorIndex('Student Details'!V31)=4,2,3)))</f>
        <v>#NAME?</v>
      </c>
      <c r="U36" s="108" t="e">
        <f ca="1">IF(ColorIndex('Student Details'!W31)&gt;5,0,IF(ColorIndex('Student Details'!W31)=5,1,IF(ColorIndex('Student Details'!W31)=4,2,3)))</f>
        <v>#NAME?</v>
      </c>
      <c r="V36" s="39"/>
      <c r="W36" s="187"/>
      <c r="X36" s="187"/>
      <c r="Y36" s="20"/>
      <c r="Z36" s="20"/>
      <c r="AA36" s="20"/>
    </row>
    <row r="37" spans="1:27" ht="18.75" hidden="1" customHeight="1">
      <c r="A37" s="20"/>
      <c r="B37" s="20"/>
      <c r="C37" s="20"/>
      <c r="D37" s="478" t="str">
        <f>'Student List'!$F$22</f>
        <v>C0.6</v>
      </c>
      <c r="E37" s="478"/>
      <c r="F37" s="524" t="s">
        <v>118</v>
      </c>
      <c r="G37" s="525"/>
      <c r="H37" s="197" t="s">
        <v>119</v>
      </c>
      <c r="I37" s="198">
        <f>$H$9</f>
        <v>0</v>
      </c>
      <c r="J37" s="53" t="e">
        <f ca="1">IF(J40=0,"",IF(J$16="","",$I37*$T$3))</f>
        <v>#NAME?</v>
      </c>
      <c r="K37" s="53" t="e">
        <f t="shared" ref="K37:V37" ca="1" si="55">IF(K40=0,"",IF(K$16="","",$I37*$T$3))</f>
        <v>#NAME?</v>
      </c>
      <c r="L37" s="53" t="e">
        <f t="shared" ca="1" si="55"/>
        <v>#NAME?</v>
      </c>
      <c r="M37" s="53" t="e">
        <f t="shared" ca="1" si="55"/>
        <v>#NAME?</v>
      </c>
      <c r="N37" s="53" t="e">
        <f t="shared" ca="1" si="55"/>
        <v>#NAME?</v>
      </c>
      <c r="O37" s="53" t="e">
        <f t="shared" ca="1" si="55"/>
        <v>#NAME?</v>
      </c>
      <c r="P37" s="53" t="e">
        <f t="shared" ca="1" si="55"/>
        <v>#NAME?</v>
      </c>
      <c r="Q37" s="53" t="e">
        <f t="shared" ca="1" si="55"/>
        <v>#NAME?</v>
      </c>
      <c r="R37" s="53" t="e">
        <f t="shared" ca="1" si="55"/>
        <v>#NAME?</v>
      </c>
      <c r="S37" s="53" t="e">
        <f t="shared" ca="1" si="55"/>
        <v>#NAME?</v>
      </c>
      <c r="T37" s="53" t="e">
        <f t="shared" ca="1" si="55"/>
        <v>#NAME?</v>
      </c>
      <c r="U37" s="53" t="e">
        <f t="shared" ca="1" si="55"/>
        <v>#NAME?</v>
      </c>
      <c r="V37" s="53" t="str">
        <f t="shared" si="55"/>
        <v/>
      </c>
      <c r="W37" s="484" t="e">
        <f ca="1">(SUMIF(J39:U39,"&gt;0.0")/SUMIF(J40:U40,"&gt;0.0"))*100</f>
        <v>#DIV/0!</v>
      </c>
      <c r="X37" s="484" t="e">
        <f ca="1">IF(W37&gt;($Z$3*100),"Yes","No")</f>
        <v>#DIV/0!</v>
      </c>
      <c r="Y37" s="20"/>
      <c r="Z37" s="20"/>
      <c r="AA37" s="20"/>
    </row>
    <row r="38" spans="1:27" ht="18.75" hidden="1" customHeight="1">
      <c r="A38" s="20"/>
      <c r="B38" s="20"/>
      <c r="C38" s="20"/>
      <c r="D38" s="478"/>
      <c r="E38" s="478"/>
      <c r="F38" s="527" t="s">
        <v>66</v>
      </c>
      <c r="G38" s="527"/>
      <c r="H38" s="527"/>
      <c r="I38" s="527"/>
      <c r="J38" s="53" t="e">
        <f ca="1">IF(J40=0,"",IFERROR(J$16*$T$4,""))</f>
        <v>#NAME?</v>
      </c>
      <c r="K38" s="53" t="e">
        <f t="shared" ref="K38:V38" ca="1" si="56">IF(K40=0,"",IFERROR(K$16*$T$4,""))</f>
        <v>#NAME?</v>
      </c>
      <c r="L38" s="53" t="e">
        <f t="shared" ca="1" si="56"/>
        <v>#NAME?</v>
      </c>
      <c r="M38" s="53" t="e">
        <f t="shared" ca="1" si="56"/>
        <v>#NAME?</v>
      </c>
      <c r="N38" s="53" t="e">
        <f t="shared" ca="1" si="56"/>
        <v>#NAME?</v>
      </c>
      <c r="O38" s="53" t="e">
        <f t="shared" ca="1" si="56"/>
        <v>#NAME?</v>
      </c>
      <c r="P38" s="53" t="e">
        <f t="shared" ca="1" si="56"/>
        <v>#NAME?</v>
      </c>
      <c r="Q38" s="53" t="e">
        <f t="shared" ca="1" si="56"/>
        <v>#NAME?</v>
      </c>
      <c r="R38" s="53" t="e">
        <f t="shared" ca="1" si="56"/>
        <v>#NAME?</v>
      </c>
      <c r="S38" s="53" t="e">
        <f t="shared" ca="1" si="56"/>
        <v>#NAME?</v>
      </c>
      <c r="T38" s="53" t="e">
        <f t="shared" ca="1" si="56"/>
        <v>#NAME?</v>
      </c>
      <c r="U38" s="53" t="e">
        <f t="shared" ca="1" si="56"/>
        <v>#NAME?</v>
      </c>
      <c r="V38" s="53" t="str">
        <f t="shared" si="56"/>
        <v/>
      </c>
      <c r="W38" s="485"/>
      <c r="X38" s="485"/>
      <c r="Y38" s="20"/>
      <c r="Z38" s="20"/>
      <c r="AA38" s="20"/>
    </row>
    <row r="39" spans="1:27" ht="18.75" hidden="1" customHeight="1">
      <c r="A39" s="20"/>
      <c r="B39" s="20"/>
      <c r="C39" s="20"/>
      <c r="D39" s="478"/>
      <c r="E39" s="478"/>
      <c r="F39" s="481" t="str">
        <f>D37 &amp; "     Attainment"</f>
        <v>C0.6     Attainment</v>
      </c>
      <c r="G39" s="482"/>
      <c r="H39" s="482"/>
      <c r="I39" s="483"/>
      <c r="J39" s="108" t="e">
        <f ca="1">IF(J40=0,"",(J37)+(J38))</f>
        <v>#NAME?</v>
      </c>
      <c r="K39" s="108" t="e">
        <f t="shared" ref="K39" ca="1" si="57">IF(K40=0,"",(K37)+(K38))</f>
        <v>#NAME?</v>
      </c>
      <c r="L39" s="108" t="e">
        <f t="shared" ref="L39" ca="1" si="58">IF(L40=0,"",(L37)+(L38))</f>
        <v>#NAME?</v>
      </c>
      <c r="M39" s="108" t="e">
        <f t="shared" ref="M39" ca="1" si="59">IF(M40=0,"",(M37)+(M38))</f>
        <v>#NAME?</v>
      </c>
      <c r="N39" s="108" t="e">
        <f t="shared" ref="N39" ca="1" si="60">IF(N40=0,"",(N37)+(N38))</f>
        <v>#NAME?</v>
      </c>
      <c r="O39" s="108" t="e">
        <f t="shared" ref="O39" ca="1" si="61">IF(O40=0,"",(O37)+(O38))</f>
        <v>#NAME?</v>
      </c>
      <c r="P39" s="108" t="e">
        <f t="shared" ref="P39" ca="1" si="62">IF(P40=0,"",(P37)+(P38))</f>
        <v>#NAME?</v>
      </c>
      <c r="Q39" s="108" t="e">
        <f t="shared" ref="Q39" ca="1" si="63">IF(Q40=0,"",(Q37)+(Q38))</f>
        <v>#NAME?</v>
      </c>
      <c r="R39" s="108" t="e">
        <f t="shared" ref="R39" ca="1" si="64">IF(R40=0,"",(R37)+(R38))</f>
        <v>#NAME?</v>
      </c>
      <c r="S39" s="108" t="e">
        <f t="shared" ref="S39" ca="1" si="65">IF(S40=0,"",(S37)+(S38))</f>
        <v>#NAME?</v>
      </c>
      <c r="T39" s="108" t="e">
        <f t="shared" ref="T39" ca="1" si="66">IF(T40=0,"",(T37)+(T38))</f>
        <v>#NAME?</v>
      </c>
      <c r="U39" s="108" t="e">
        <f t="shared" ref="U39" ca="1" si="67">IF(U40=0,"",(U37)+(U38))</f>
        <v>#NAME?</v>
      </c>
      <c r="V39" s="39" t="e">
        <f ca="1">IFERROR(SUM(J39:U39)/COUNTIF(J39:U39,"&gt;0.0"),NA())</f>
        <v>#N/A</v>
      </c>
      <c r="W39" s="486"/>
      <c r="X39" s="486"/>
      <c r="Y39" s="20"/>
      <c r="Z39" s="20"/>
      <c r="AA39" s="20"/>
    </row>
    <row r="40" spans="1:27" ht="18.75" hidden="1" customHeight="1">
      <c r="A40" s="20"/>
      <c r="B40" s="20"/>
      <c r="C40" s="20"/>
      <c r="D40" s="199"/>
      <c r="E40" s="199"/>
      <c r="F40" s="184"/>
      <c r="G40" s="185"/>
      <c r="H40" s="185"/>
      <c r="I40" s="186"/>
      <c r="J40" s="108" t="e">
        <f ca="1">IF(ColorIndex('Student Details'!L32)&gt;5,0,IF(ColorIndex('Student Details'!L32)=5,1,IF(ColorIndex('Student Details'!L32)=4,2,3)))</f>
        <v>#NAME?</v>
      </c>
      <c r="K40" s="108" t="e">
        <f ca="1">IF(ColorIndex('Student Details'!M32)&gt;5,0,IF(ColorIndex('Student Details'!M32)=5,1,IF(ColorIndex('Student Details'!M32)=4,2,3)))</f>
        <v>#NAME?</v>
      </c>
      <c r="L40" s="108" t="e">
        <f ca="1">IF(ColorIndex('Student Details'!N32)&gt;5,0,IF(ColorIndex('Student Details'!N32)=5,1,IF(ColorIndex('Student Details'!N32)=4,2,3)))</f>
        <v>#NAME?</v>
      </c>
      <c r="M40" s="108" t="e">
        <f ca="1">IF(ColorIndex('Student Details'!O32)&gt;5,0,IF(ColorIndex('Student Details'!O32)=5,1,IF(ColorIndex('Student Details'!O32)=4,2,3)))</f>
        <v>#NAME?</v>
      </c>
      <c r="N40" s="108" t="e">
        <f ca="1">IF(ColorIndex('Student Details'!P32)&gt;5,0,IF(ColorIndex('Student Details'!P32)=5,1,IF(ColorIndex('Student Details'!P32)=4,2,3)))</f>
        <v>#NAME?</v>
      </c>
      <c r="O40" s="108" t="e">
        <f ca="1">IF(ColorIndex('Student Details'!Q32)&gt;5,0,IF(ColorIndex('Student Details'!Q32)=5,1,IF(ColorIndex('Student Details'!Q32)=4,2,3)))</f>
        <v>#NAME?</v>
      </c>
      <c r="P40" s="108" t="e">
        <f ca="1">IF(ColorIndex('Student Details'!R32)&gt;5,0,IF(ColorIndex('Student Details'!R32)=5,1,IF(ColorIndex('Student Details'!R32)=4,2,3)))</f>
        <v>#NAME?</v>
      </c>
      <c r="Q40" s="108" t="e">
        <f ca="1">IF(ColorIndex('Student Details'!S32)&gt;5,0,IF(ColorIndex('Student Details'!S32)=5,1,IF(ColorIndex('Student Details'!S32)=4,2,3)))</f>
        <v>#NAME?</v>
      </c>
      <c r="R40" s="108" t="e">
        <f ca="1">IF(ColorIndex('Student Details'!T32)&gt;5,0,IF(ColorIndex('Student Details'!T32)=5,1,IF(ColorIndex('Student Details'!T32)=4,2,3)))</f>
        <v>#NAME?</v>
      </c>
      <c r="S40" s="108" t="e">
        <f ca="1">IF(ColorIndex('Student Details'!U32)&gt;5,0,IF(ColorIndex('Student Details'!U32)=5,1,IF(ColorIndex('Student Details'!U32)=4,2,3)))</f>
        <v>#NAME?</v>
      </c>
      <c r="T40" s="108" t="e">
        <f ca="1">IF(ColorIndex('Student Details'!V32)&gt;5,0,IF(ColorIndex('Student Details'!V32)=5,1,IF(ColorIndex('Student Details'!V32)=4,2,3)))</f>
        <v>#NAME?</v>
      </c>
      <c r="U40" s="108" t="e">
        <f ca="1">IF(ColorIndex('Student Details'!W32)&gt;5,0,IF(ColorIndex('Student Details'!W32)=5,1,IF(ColorIndex('Student Details'!W32)=4,2,3)))</f>
        <v>#NAME?</v>
      </c>
      <c r="V40" s="39"/>
      <c r="W40" s="187"/>
      <c r="X40" s="187"/>
      <c r="Y40" s="20"/>
      <c r="Z40" s="20"/>
      <c r="AA40" s="20"/>
    </row>
    <row r="41" spans="1:27" ht="18.75" hidden="1" customHeight="1">
      <c r="A41" s="20"/>
      <c r="B41" s="20"/>
      <c r="C41" s="20"/>
      <c r="D41" s="478" t="str">
        <f>'Student List'!$F$24</f>
        <v>C0.7</v>
      </c>
      <c r="E41" s="478"/>
      <c r="F41" s="524" t="s">
        <v>118</v>
      </c>
      <c r="G41" s="525"/>
      <c r="H41" s="197" t="s">
        <v>119</v>
      </c>
      <c r="I41" s="198">
        <f>$H$10</f>
        <v>0</v>
      </c>
      <c r="J41" s="53" t="e">
        <f ca="1">IF(J44=0,"",IF(J$16="","",$I41*$T$3))</f>
        <v>#NAME?</v>
      </c>
      <c r="K41" s="53" t="e">
        <f t="shared" ref="K41:U41" ca="1" si="68">IF(K44=0,"",IF(K$16="","",$I41*$T$3))</f>
        <v>#NAME?</v>
      </c>
      <c r="L41" s="53" t="e">
        <f t="shared" ca="1" si="68"/>
        <v>#NAME?</v>
      </c>
      <c r="M41" s="53" t="e">
        <f t="shared" ca="1" si="68"/>
        <v>#NAME?</v>
      </c>
      <c r="N41" s="53" t="e">
        <f t="shared" ca="1" si="68"/>
        <v>#NAME?</v>
      </c>
      <c r="O41" s="53" t="e">
        <f t="shared" ca="1" si="68"/>
        <v>#NAME?</v>
      </c>
      <c r="P41" s="53" t="e">
        <f t="shared" ca="1" si="68"/>
        <v>#NAME?</v>
      </c>
      <c r="Q41" s="53" t="e">
        <f t="shared" ca="1" si="68"/>
        <v>#NAME?</v>
      </c>
      <c r="R41" s="53" t="e">
        <f t="shared" ca="1" si="68"/>
        <v>#NAME?</v>
      </c>
      <c r="S41" s="53" t="e">
        <f t="shared" ca="1" si="68"/>
        <v>#NAME?</v>
      </c>
      <c r="T41" s="53" t="e">
        <f t="shared" ca="1" si="68"/>
        <v>#NAME?</v>
      </c>
      <c r="U41" s="53" t="e">
        <f t="shared" ca="1" si="68"/>
        <v>#NAME?</v>
      </c>
      <c r="V41" s="39" t="e">
        <f ca="1">IFERROR(SUM(J41:U41)/COUNTIF(J41:U41,"&gt;0.0"),NA())</f>
        <v>#N/A</v>
      </c>
      <c r="W41" s="484" t="e">
        <f ca="1">(SUMIF(J43:U43,"&gt;0.0")/SUMIF(J44:U44,"&gt;0.0"))*100</f>
        <v>#DIV/0!</v>
      </c>
      <c r="X41" s="484" t="e">
        <f ca="1">IF(W41&gt;($Z$3*100),"Yes","No")</f>
        <v>#DIV/0!</v>
      </c>
      <c r="Y41" s="20"/>
      <c r="Z41" s="20"/>
      <c r="AA41" s="20"/>
    </row>
    <row r="42" spans="1:27" ht="18.75" hidden="1" customHeight="1">
      <c r="A42" s="20"/>
      <c r="B42" s="20"/>
      <c r="C42" s="20"/>
      <c r="D42" s="478"/>
      <c r="E42" s="478"/>
      <c r="F42" s="527" t="s">
        <v>66</v>
      </c>
      <c r="G42" s="527"/>
      <c r="H42" s="527"/>
      <c r="I42" s="527"/>
      <c r="J42" s="53" t="e">
        <f ca="1">IF(J44=0,"",IFERROR(J$16*$T$4,""))</f>
        <v>#NAME?</v>
      </c>
      <c r="K42" s="53" t="e">
        <f t="shared" ref="K42:U42" ca="1" si="69">IF(K44=0,"",IFERROR(K$16*$T$4,""))</f>
        <v>#NAME?</v>
      </c>
      <c r="L42" s="53" t="e">
        <f t="shared" ca="1" si="69"/>
        <v>#NAME?</v>
      </c>
      <c r="M42" s="53" t="e">
        <f t="shared" ca="1" si="69"/>
        <v>#NAME?</v>
      </c>
      <c r="N42" s="53" t="e">
        <f t="shared" ca="1" si="69"/>
        <v>#NAME?</v>
      </c>
      <c r="O42" s="53" t="e">
        <f t="shared" ca="1" si="69"/>
        <v>#NAME?</v>
      </c>
      <c r="P42" s="53" t="e">
        <f t="shared" ca="1" si="69"/>
        <v>#NAME?</v>
      </c>
      <c r="Q42" s="53" t="e">
        <f t="shared" ca="1" si="69"/>
        <v>#NAME?</v>
      </c>
      <c r="R42" s="53" t="e">
        <f t="shared" ca="1" si="69"/>
        <v>#NAME?</v>
      </c>
      <c r="S42" s="53" t="e">
        <f t="shared" ca="1" si="69"/>
        <v>#NAME?</v>
      </c>
      <c r="T42" s="53" t="e">
        <f t="shared" ca="1" si="69"/>
        <v>#NAME?</v>
      </c>
      <c r="U42" s="53" t="e">
        <f t="shared" ca="1" si="69"/>
        <v>#NAME?</v>
      </c>
      <c r="V42" s="39"/>
      <c r="W42" s="485"/>
      <c r="X42" s="485"/>
      <c r="Y42" s="20"/>
      <c r="Z42" s="20"/>
      <c r="AA42" s="20"/>
    </row>
    <row r="43" spans="1:27" ht="18.75" hidden="1" customHeight="1">
      <c r="A43" s="20"/>
      <c r="B43" s="20"/>
      <c r="C43" s="20"/>
      <c r="D43" s="478"/>
      <c r="E43" s="478"/>
      <c r="F43" s="481" t="str">
        <f>D41 &amp; "     Attainment"</f>
        <v>C0.7     Attainment</v>
      </c>
      <c r="G43" s="482"/>
      <c r="H43" s="482"/>
      <c r="I43" s="483"/>
      <c r="J43" s="108" t="e">
        <f ca="1">IF(J44=0,"",(J41)+(J42))</f>
        <v>#NAME?</v>
      </c>
      <c r="K43" s="108" t="e">
        <f t="shared" ref="K43" ca="1" si="70">IF(K44=0,"",(K41)+(K42))</f>
        <v>#NAME?</v>
      </c>
      <c r="L43" s="108" t="e">
        <f t="shared" ref="L43" ca="1" si="71">IF(L44=0,"",(L41)+(L42))</f>
        <v>#NAME?</v>
      </c>
      <c r="M43" s="108" t="e">
        <f t="shared" ref="M43" ca="1" si="72">IF(M44=0,"",(M41)+(M42))</f>
        <v>#NAME?</v>
      </c>
      <c r="N43" s="108" t="e">
        <f t="shared" ref="N43" ca="1" si="73">IF(N44=0,"",(N41)+(N42))</f>
        <v>#NAME?</v>
      </c>
      <c r="O43" s="108" t="e">
        <f t="shared" ref="O43" ca="1" si="74">IF(O44=0,"",(O41)+(O42))</f>
        <v>#NAME?</v>
      </c>
      <c r="P43" s="108" t="e">
        <f t="shared" ref="P43" ca="1" si="75">IF(P44=0,"",(P41)+(P42))</f>
        <v>#NAME?</v>
      </c>
      <c r="Q43" s="108" t="e">
        <f t="shared" ref="Q43" ca="1" si="76">IF(Q44=0,"",(Q41)+(Q42))</f>
        <v>#NAME?</v>
      </c>
      <c r="R43" s="108" t="e">
        <f t="shared" ref="R43" ca="1" si="77">IF(R44=0,"",(R41)+(R42))</f>
        <v>#NAME?</v>
      </c>
      <c r="S43" s="108" t="e">
        <f t="shared" ref="S43" ca="1" si="78">IF(S44=0,"",(S41)+(S42))</f>
        <v>#NAME?</v>
      </c>
      <c r="T43" s="108" t="e">
        <f t="shared" ref="T43" ca="1" si="79">IF(T44=0,"",(T41)+(T42))</f>
        <v>#NAME?</v>
      </c>
      <c r="U43" s="108" t="e">
        <f t="shared" ref="U43" ca="1" si="80">IF(U44=0,"",(U41)+(U42))</f>
        <v>#NAME?</v>
      </c>
      <c r="V43" s="39" t="e">
        <f ca="1">IFERROR(SUM(J43:U43)/COUNTIF(J43:U43,"&gt;0.0"),NA())</f>
        <v>#N/A</v>
      </c>
      <c r="W43" s="486"/>
      <c r="X43" s="486"/>
      <c r="Y43" s="20"/>
      <c r="Z43" s="20"/>
      <c r="AA43" s="20"/>
    </row>
    <row r="44" spans="1:27" ht="18.75" hidden="1" customHeight="1">
      <c r="A44" s="20"/>
      <c r="B44" s="20"/>
      <c r="C44" s="20"/>
      <c r="D44" s="199"/>
      <c r="E44" s="199"/>
      <c r="F44" s="184"/>
      <c r="G44" s="185"/>
      <c r="H44" s="185"/>
      <c r="I44" s="186"/>
      <c r="J44" s="108" t="e">
        <f ca="1">IF(ColorIndex('Student Details'!L33)&gt;5,0,IF(ColorIndex('Student Details'!L33)=5,1,IF(ColorIndex('Student Details'!L33)=4,2,3)))</f>
        <v>#NAME?</v>
      </c>
      <c r="K44" s="108" t="e">
        <f ca="1">IF(ColorIndex('Student Details'!M33)&gt;5,0,IF(ColorIndex('Student Details'!M33)=5,1,IF(ColorIndex('Student Details'!M33)=4,2,3)))</f>
        <v>#NAME?</v>
      </c>
      <c r="L44" s="108" t="e">
        <f ca="1">IF(ColorIndex('Student Details'!N33)&gt;5,0,IF(ColorIndex('Student Details'!N33)=5,1,IF(ColorIndex('Student Details'!N33)=4,2,3)))</f>
        <v>#NAME?</v>
      </c>
      <c r="M44" s="108" t="e">
        <f ca="1">IF(ColorIndex('Student Details'!O33)&gt;5,0,IF(ColorIndex('Student Details'!O33)=5,1,IF(ColorIndex('Student Details'!O33)=4,2,3)))</f>
        <v>#NAME?</v>
      </c>
      <c r="N44" s="108" t="e">
        <f ca="1">IF(ColorIndex('Student Details'!P33)&gt;5,0,IF(ColorIndex('Student Details'!P33)=5,1,IF(ColorIndex('Student Details'!P33)=4,2,3)))</f>
        <v>#NAME?</v>
      </c>
      <c r="O44" s="108" t="e">
        <f ca="1">IF(ColorIndex('Student Details'!Q33)&gt;5,0,IF(ColorIndex('Student Details'!Q33)=5,1,IF(ColorIndex('Student Details'!Q33)=4,2,3)))</f>
        <v>#NAME?</v>
      </c>
      <c r="P44" s="108" t="e">
        <f ca="1">IF(ColorIndex('Student Details'!R33)&gt;5,0,IF(ColorIndex('Student Details'!R33)=5,1,IF(ColorIndex('Student Details'!R33)=4,2,3)))</f>
        <v>#NAME?</v>
      </c>
      <c r="Q44" s="108" t="e">
        <f ca="1">IF(ColorIndex('Student Details'!S33)&gt;5,0,IF(ColorIndex('Student Details'!S33)=5,1,IF(ColorIndex('Student Details'!S33)=4,2,3)))</f>
        <v>#NAME?</v>
      </c>
      <c r="R44" s="108" t="e">
        <f ca="1">IF(ColorIndex('Student Details'!T33)&gt;5,0,IF(ColorIndex('Student Details'!T33)=5,1,IF(ColorIndex('Student Details'!T33)=4,2,3)))</f>
        <v>#NAME?</v>
      </c>
      <c r="S44" s="108" t="e">
        <f ca="1">IF(ColorIndex('Student Details'!U33)&gt;5,0,IF(ColorIndex('Student Details'!U33)=5,1,IF(ColorIndex('Student Details'!U33)=4,2,3)))</f>
        <v>#NAME?</v>
      </c>
      <c r="T44" s="108" t="e">
        <f ca="1">IF(ColorIndex('Student Details'!V33)&gt;5,0,IF(ColorIndex('Student Details'!V33)=5,1,IF(ColorIndex('Student Details'!V33)=4,2,3)))</f>
        <v>#NAME?</v>
      </c>
      <c r="U44" s="108" t="e">
        <f ca="1">IF(ColorIndex('Student Details'!W33)&gt;5,0,IF(ColorIndex('Student Details'!W33)=5,1,IF(ColorIndex('Student Details'!W33)=4,2,3)))</f>
        <v>#NAME?</v>
      </c>
      <c r="V44" s="39"/>
      <c r="W44" s="188"/>
      <c r="X44" s="187"/>
      <c r="Y44" s="20"/>
      <c r="Z44" s="20"/>
      <c r="AA44" s="20"/>
    </row>
    <row r="45" spans="1:27" ht="18.75" hidden="1" customHeight="1">
      <c r="A45" s="20"/>
      <c r="B45" s="20"/>
      <c r="C45" s="20"/>
      <c r="D45" s="478" t="str">
        <f>'Student List'!$F$26</f>
        <v>C0.8</v>
      </c>
      <c r="E45" s="478"/>
      <c r="F45" s="524" t="s">
        <v>118</v>
      </c>
      <c r="G45" s="525"/>
      <c r="H45" s="197" t="s">
        <v>119</v>
      </c>
      <c r="I45" s="198">
        <f>$H$11</f>
        <v>0</v>
      </c>
      <c r="J45" s="53" t="e">
        <f ca="1">IF(J48=0,"",IF(J$16="","",$I45*$T$3))</f>
        <v>#NAME?</v>
      </c>
      <c r="K45" s="53" t="e">
        <f t="shared" ref="K45:U45" ca="1" si="81">IF(K48=0,"",IF(K$16="","",$I45*$T$3))</f>
        <v>#NAME?</v>
      </c>
      <c r="L45" s="53" t="e">
        <f t="shared" ca="1" si="81"/>
        <v>#NAME?</v>
      </c>
      <c r="M45" s="53" t="e">
        <f t="shared" ca="1" si="81"/>
        <v>#NAME?</v>
      </c>
      <c r="N45" s="53" t="e">
        <f t="shared" ca="1" si="81"/>
        <v>#NAME?</v>
      </c>
      <c r="O45" s="53" t="e">
        <f t="shared" ca="1" si="81"/>
        <v>#NAME?</v>
      </c>
      <c r="P45" s="53" t="e">
        <f t="shared" ca="1" si="81"/>
        <v>#NAME?</v>
      </c>
      <c r="Q45" s="53" t="e">
        <f t="shared" ca="1" si="81"/>
        <v>#NAME?</v>
      </c>
      <c r="R45" s="53" t="e">
        <f t="shared" ca="1" si="81"/>
        <v>#NAME?</v>
      </c>
      <c r="S45" s="53" t="e">
        <f t="shared" ca="1" si="81"/>
        <v>#NAME?</v>
      </c>
      <c r="T45" s="53" t="e">
        <f t="shared" ca="1" si="81"/>
        <v>#NAME?</v>
      </c>
      <c r="U45" s="53" t="e">
        <f t="shared" ca="1" si="81"/>
        <v>#NAME?</v>
      </c>
      <c r="V45" s="39" t="e">
        <f ca="1">IFERROR(SUM(J45:U45)/COUNTIF(J45:U45,"&gt;0.0"),NA())</f>
        <v>#N/A</v>
      </c>
      <c r="W45" s="484" t="e">
        <f ca="1">(SUMIF(J47:U47,"&gt;0.0")/SUMIF(J48:U48,"&gt;0.0"))*100</f>
        <v>#DIV/0!</v>
      </c>
      <c r="X45" s="484" t="e">
        <f ca="1">IF(W45&gt;($Z$3*100),"Yes","No")</f>
        <v>#DIV/0!</v>
      </c>
      <c r="Y45" s="20"/>
      <c r="Z45" s="20"/>
      <c r="AA45" s="20"/>
    </row>
    <row r="46" spans="1:27" ht="18.75" hidden="1" customHeight="1">
      <c r="A46" s="20"/>
      <c r="B46" s="20"/>
      <c r="C46" s="20"/>
      <c r="D46" s="478"/>
      <c r="E46" s="478"/>
      <c r="F46" s="527" t="s">
        <v>66</v>
      </c>
      <c r="G46" s="527"/>
      <c r="H46" s="527"/>
      <c r="I46" s="527"/>
      <c r="J46" s="53" t="e">
        <f ca="1">IF(J48=0,"",IFERROR(J$16*$T$4,""))</f>
        <v>#NAME?</v>
      </c>
      <c r="K46" s="53" t="e">
        <f t="shared" ref="K46:U46" ca="1" si="82">IF(K48=0,"",IFERROR(K$16*$T$4,""))</f>
        <v>#NAME?</v>
      </c>
      <c r="L46" s="53" t="e">
        <f t="shared" ca="1" si="82"/>
        <v>#NAME?</v>
      </c>
      <c r="M46" s="53" t="e">
        <f t="shared" ca="1" si="82"/>
        <v>#NAME?</v>
      </c>
      <c r="N46" s="53" t="e">
        <f t="shared" ca="1" si="82"/>
        <v>#NAME?</v>
      </c>
      <c r="O46" s="53" t="e">
        <f t="shared" ca="1" si="82"/>
        <v>#NAME?</v>
      </c>
      <c r="P46" s="53" t="e">
        <f t="shared" ca="1" si="82"/>
        <v>#NAME?</v>
      </c>
      <c r="Q46" s="53" t="e">
        <f t="shared" ca="1" si="82"/>
        <v>#NAME?</v>
      </c>
      <c r="R46" s="53" t="e">
        <f t="shared" ca="1" si="82"/>
        <v>#NAME?</v>
      </c>
      <c r="S46" s="53" t="e">
        <f t="shared" ca="1" si="82"/>
        <v>#NAME?</v>
      </c>
      <c r="T46" s="53" t="e">
        <f t="shared" ca="1" si="82"/>
        <v>#NAME?</v>
      </c>
      <c r="U46" s="53" t="e">
        <f t="shared" ca="1" si="82"/>
        <v>#NAME?</v>
      </c>
      <c r="V46" s="39"/>
      <c r="W46" s="485"/>
      <c r="X46" s="485"/>
      <c r="Y46" s="20"/>
      <c r="Z46" s="20"/>
      <c r="AA46" s="20"/>
    </row>
    <row r="47" spans="1:27" ht="18.75" hidden="1" customHeight="1">
      <c r="A47" s="20"/>
      <c r="B47" s="20"/>
      <c r="C47" s="20"/>
      <c r="D47" s="478"/>
      <c r="E47" s="478"/>
      <c r="F47" s="481" t="str">
        <f>D45 &amp; "     Attainment"</f>
        <v>C0.8     Attainment</v>
      </c>
      <c r="G47" s="482"/>
      <c r="H47" s="482"/>
      <c r="I47" s="483"/>
      <c r="J47" s="108" t="e">
        <f ca="1">IF(J48=0,"",(J45)+(J46))</f>
        <v>#NAME?</v>
      </c>
      <c r="K47" s="108" t="e">
        <f t="shared" ref="K47" ca="1" si="83">IF(K48=0,"",(K45)+(K46))</f>
        <v>#NAME?</v>
      </c>
      <c r="L47" s="108" t="e">
        <f t="shared" ref="L47" ca="1" si="84">IF(L48=0,"",(L45)+(L46))</f>
        <v>#NAME?</v>
      </c>
      <c r="M47" s="108" t="e">
        <f t="shared" ref="M47" ca="1" si="85">IF(M48=0,"",(M45)+(M46))</f>
        <v>#NAME?</v>
      </c>
      <c r="N47" s="108" t="e">
        <f t="shared" ref="N47" ca="1" si="86">IF(N48=0,"",(N45)+(N46))</f>
        <v>#NAME?</v>
      </c>
      <c r="O47" s="108" t="e">
        <f t="shared" ref="O47" ca="1" si="87">IF(O48=0,"",(O45)+(O46))</f>
        <v>#NAME?</v>
      </c>
      <c r="P47" s="108" t="e">
        <f t="shared" ref="P47" ca="1" si="88">IF(P48=0,"",(P45)+(P46))</f>
        <v>#NAME?</v>
      </c>
      <c r="Q47" s="108" t="e">
        <f t="shared" ref="Q47" ca="1" si="89">IF(Q48=0,"",(Q45)+(Q46))</f>
        <v>#NAME?</v>
      </c>
      <c r="R47" s="108" t="e">
        <f t="shared" ref="R47" ca="1" si="90">IF(R48=0,"",(R45)+(R46))</f>
        <v>#NAME?</v>
      </c>
      <c r="S47" s="108" t="e">
        <f t="shared" ref="S47" ca="1" si="91">IF(S48=0,"",(S45)+(S46))</f>
        <v>#NAME?</v>
      </c>
      <c r="T47" s="108" t="e">
        <f t="shared" ref="T47" ca="1" si="92">IF(T48=0,"",(T45)+(T46))</f>
        <v>#NAME?</v>
      </c>
      <c r="U47" s="108" t="e">
        <f t="shared" ref="U47" ca="1" si="93">IF(U48=0,"",(U45)+(U46))</f>
        <v>#NAME?</v>
      </c>
      <c r="V47" s="39" t="e">
        <f ca="1">IFERROR(SUM(J47:U47)/COUNTIF(J47:U47,"&gt;0.0"),NA())</f>
        <v>#N/A</v>
      </c>
      <c r="W47" s="486"/>
      <c r="X47" s="486"/>
      <c r="Y47" s="20"/>
      <c r="Z47" s="20"/>
      <c r="AA47" s="20"/>
    </row>
    <row r="48" spans="1:27" ht="18.75" hidden="1" customHeight="1">
      <c r="A48" s="20"/>
      <c r="B48" s="20"/>
      <c r="C48" s="20"/>
      <c r="D48" s="199"/>
      <c r="E48" s="199"/>
      <c r="F48" s="184"/>
      <c r="G48" s="185"/>
      <c r="H48" s="185"/>
      <c r="I48" s="186"/>
      <c r="J48" s="108" t="e">
        <f ca="1">IF(ColorIndex('Student Details'!L34)&gt;5,0,IF(ColorIndex('Student Details'!L34)=5,1,IF(ColorIndex('Student Details'!L34)=4,2,3)))</f>
        <v>#NAME?</v>
      </c>
      <c r="K48" s="108" t="e">
        <f ca="1">IF(ColorIndex('Student Details'!M34)&gt;5,0,IF(ColorIndex('Student Details'!M34)=5,1,IF(ColorIndex('Student Details'!M34)=4,2,3)))</f>
        <v>#NAME?</v>
      </c>
      <c r="L48" s="108" t="e">
        <f ca="1">IF(ColorIndex('Student Details'!N34)&gt;5,0,IF(ColorIndex('Student Details'!N34)=5,1,IF(ColorIndex('Student Details'!N34)=4,2,3)))</f>
        <v>#NAME?</v>
      </c>
      <c r="M48" s="108" t="e">
        <f ca="1">IF(ColorIndex('Student Details'!O34)&gt;5,0,IF(ColorIndex('Student Details'!O34)=5,1,IF(ColorIndex('Student Details'!O34)=4,2,3)))</f>
        <v>#NAME?</v>
      </c>
      <c r="N48" s="108" t="e">
        <f ca="1">IF(ColorIndex('Student Details'!P34)&gt;5,0,IF(ColorIndex('Student Details'!P34)=5,1,IF(ColorIndex('Student Details'!P34)=4,2,3)))</f>
        <v>#NAME?</v>
      </c>
      <c r="O48" s="108" t="e">
        <f ca="1">IF(ColorIndex('Student Details'!Q34)&gt;5,0,IF(ColorIndex('Student Details'!Q34)=5,1,IF(ColorIndex('Student Details'!Q34)=4,2,3)))</f>
        <v>#NAME?</v>
      </c>
      <c r="P48" s="108" t="e">
        <f ca="1">IF(ColorIndex('Student Details'!R34)&gt;5,0,IF(ColorIndex('Student Details'!R34)=5,1,IF(ColorIndex('Student Details'!R34)=4,2,3)))</f>
        <v>#NAME?</v>
      </c>
      <c r="Q48" s="108" t="e">
        <f ca="1">IF(ColorIndex('Student Details'!S34)&gt;5,0,IF(ColorIndex('Student Details'!S34)=5,1,IF(ColorIndex('Student Details'!S34)=4,2,3)))</f>
        <v>#NAME?</v>
      </c>
      <c r="R48" s="108" t="e">
        <f ca="1">IF(ColorIndex('Student Details'!T34)&gt;5,0,IF(ColorIndex('Student Details'!T34)=5,1,IF(ColorIndex('Student Details'!T34)=4,2,3)))</f>
        <v>#NAME?</v>
      </c>
      <c r="S48" s="108" t="e">
        <f ca="1">IF(ColorIndex('Student Details'!U34)&gt;5,0,IF(ColorIndex('Student Details'!U34)=5,1,IF(ColorIndex('Student Details'!U34)=4,2,3)))</f>
        <v>#NAME?</v>
      </c>
      <c r="T48" s="108" t="e">
        <f ca="1">IF(ColorIndex('Student Details'!V34)&gt;5,0,IF(ColorIndex('Student Details'!V34)=5,1,IF(ColorIndex('Student Details'!V34)=4,2,3)))</f>
        <v>#NAME?</v>
      </c>
      <c r="U48" s="108" t="e">
        <f ca="1">IF(ColorIndex('Student Details'!W34)&gt;5,0,IF(ColorIndex('Student Details'!W34)=5,1,IF(ColorIndex('Student Details'!W34)=4,2,3)))</f>
        <v>#NAME?</v>
      </c>
      <c r="V48" s="112"/>
      <c r="W48" s="183"/>
      <c r="X48" s="183"/>
      <c r="Y48" s="20"/>
      <c r="Z48" s="20"/>
      <c r="AA48" s="20"/>
    </row>
    <row r="49" spans="1:27" s="37" customFormat="1" ht="60" customHeight="1">
      <c r="A49" s="20"/>
      <c r="B49" s="20"/>
      <c r="C49" s="20"/>
      <c r="D49" s="480" t="s">
        <v>159</v>
      </c>
      <c r="E49" s="480"/>
      <c r="F49" s="480"/>
      <c r="G49" s="480"/>
      <c r="H49" s="480"/>
      <c r="I49" s="480"/>
      <c r="J49" s="224" t="str">
        <f ca="1">IF(IFERROR(SUM(J19,J23,J27,J31,J35,J39,J43,J47)/(COUNTIF(J20,"&gt;0.0")+COUNTIF(J24,"&gt;0.0")+COUNTIF(J28,"&gt;0.0")+COUNTIF(J32,"&gt;0.0")+COUNTIF(J36,"&gt;0.0")+COUNTIF(J40,"&gt;0.0")+COUNTIF(J44,"&gt;0.0")+COUNTIF(J48,"&gt;0.0")),0)=0,"",SUM(J19,J23,J27,J31,J35,J39,J43,J47)/(COUNTIF(J20,"&gt;0.0")+COUNTIF(J24,"&gt;0.0")+COUNTIF(J28,"&gt;0.0")+COUNTIF(J32,"&gt;0.0")+COUNTIF(J36,"&gt;0.0")+COUNTIF(J40,"&gt;0.0")+COUNTIF(J44,"&gt;0.0")+COUNTIF(J48,"&gt;0.0")))</f>
        <v/>
      </c>
      <c r="K49" s="224" t="str">
        <f t="shared" ref="K49:U49" ca="1" si="94">IF(IFERROR(SUM(K19,K23,K27,K31,K35,K39,K43,K47)/(COUNTIF(K20,"&gt;0.0")+COUNTIF(K24,"&gt;0.0")+COUNTIF(K28,"&gt;0.0")+COUNTIF(K32,"&gt;0.0")+COUNTIF(K36,"&gt;0.0")+COUNTIF(K40,"&gt;0.0")+COUNTIF(K44,"&gt;0.0")+COUNTIF(K48,"&gt;0.0")),0)=0,"",SUM(K19,K23,K27,K31,K35,K39,K43,K47)/(COUNTIF(K20,"&gt;0.0")+COUNTIF(K24,"&gt;0.0")+COUNTIF(K28,"&gt;0.0")+COUNTIF(K32,"&gt;0.0")+COUNTIF(K36,"&gt;0.0")+COUNTIF(K40,"&gt;0.0")+COUNTIF(K44,"&gt;0.0")+COUNTIF(K48,"&gt;0.0")))</f>
        <v/>
      </c>
      <c r="L49" s="224" t="str">
        <f t="shared" ca="1" si="94"/>
        <v/>
      </c>
      <c r="M49" s="224" t="str">
        <f t="shared" ca="1" si="94"/>
        <v/>
      </c>
      <c r="N49" s="224" t="str">
        <f t="shared" ca="1" si="94"/>
        <v/>
      </c>
      <c r="O49" s="224" t="str">
        <f t="shared" ca="1" si="94"/>
        <v/>
      </c>
      <c r="P49" s="224" t="str">
        <f t="shared" ca="1" si="94"/>
        <v/>
      </c>
      <c r="Q49" s="224" t="str">
        <f t="shared" ca="1" si="94"/>
        <v/>
      </c>
      <c r="R49" s="224" t="str">
        <f t="shared" ca="1" si="94"/>
        <v/>
      </c>
      <c r="S49" s="224" t="str">
        <f t="shared" ca="1" si="94"/>
        <v/>
      </c>
      <c r="T49" s="224" t="str">
        <f t="shared" ca="1" si="94"/>
        <v/>
      </c>
      <c r="U49" s="224" t="str">
        <f t="shared" ca="1" si="94"/>
        <v/>
      </c>
      <c r="V49" s="52"/>
      <c r="W49" s="42"/>
      <c r="X49" s="42"/>
      <c r="Y49" s="20"/>
      <c r="Z49" s="20"/>
      <c r="AA49" s="20"/>
    </row>
    <row r="50" spans="1:27" hidden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33" customHeight="1">
      <c r="A52" s="20"/>
      <c r="B52" s="20" t="s">
        <v>76</v>
      </c>
      <c r="C52" s="20"/>
      <c r="D52" s="504" t="s">
        <v>102</v>
      </c>
      <c r="E52" s="504"/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54.75" customHeight="1">
      <c r="A53" s="20"/>
      <c r="B53" s="20"/>
      <c r="C53" s="20"/>
      <c r="D53" s="520" t="s">
        <v>59</v>
      </c>
      <c r="E53" s="521"/>
      <c r="F53" s="520" t="s">
        <v>60</v>
      </c>
      <c r="G53" s="531"/>
      <c r="H53" s="531"/>
      <c r="I53" s="521"/>
      <c r="J53" s="189" t="s">
        <v>95</v>
      </c>
      <c r="K53" s="189" t="s">
        <v>96</v>
      </c>
      <c r="L53" s="189" t="s">
        <v>97</v>
      </c>
      <c r="M53" s="189" t="s">
        <v>98</v>
      </c>
      <c r="N53" s="533" t="s">
        <v>71</v>
      </c>
      <c r="O53" s="534"/>
      <c r="P53" s="533" t="str">
        <f>"Achievement (Goal  : " &amp;Z3*100&amp;"% )"</f>
        <v>Achievement (Goal  : 45% )</v>
      </c>
      <c r="Q53" s="534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37.5" customHeight="1">
      <c r="A54" s="20"/>
      <c r="B54" s="20"/>
      <c r="C54" s="20"/>
      <c r="D54" s="522"/>
      <c r="E54" s="523"/>
      <c r="F54" s="522"/>
      <c r="G54" s="532"/>
      <c r="H54" s="532"/>
      <c r="I54" s="523"/>
      <c r="J54" s="196" t="str">
        <f ca="1">'Final Analysis'!J85</f>
        <v/>
      </c>
      <c r="K54" s="196" t="str">
        <f ca="1">'Final Analysis'!K85</f>
        <v/>
      </c>
      <c r="L54" s="196" t="str">
        <f ca="1">'Final Analysis'!L85</f>
        <v/>
      </c>
      <c r="M54" s="196" t="str">
        <f ca="1">'Final Analysis'!M85</f>
        <v/>
      </c>
      <c r="N54" s="535"/>
      <c r="O54" s="536"/>
      <c r="P54" s="535"/>
      <c r="Q54" s="536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8.75" hidden="1" customHeight="1">
      <c r="A55" s="20"/>
      <c r="B55" s="20"/>
      <c r="C55" s="20"/>
      <c r="D55" s="478" t="str">
        <f>'Student List'!$F$12</f>
        <v>C0.1</v>
      </c>
      <c r="E55" s="478"/>
      <c r="F55" s="524" t="s">
        <v>118</v>
      </c>
      <c r="G55" s="525"/>
      <c r="H55" s="208" t="s">
        <v>119</v>
      </c>
      <c r="I55" s="209">
        <f>$H$4</f>
        <v>2.8852459016393444</v>
      </c>
      <c r="J55" s="53" t="e">
        <f ca="1">IF(J58=0,"",IF(J$54="","",$I55*$T$3))</f>
        <v>#NAME?</v>
      </c>
      <c r="K55" s="53" t="e">
        <f ca="1">IF(K58=0,"",IF(K$54="","",$I55*$T$3))</f>
        <v>#NAME?</v>
      </c>
      <c r="L55" s="53" t="e">
        <f t="shared" ref="L55:M55" ca="1" si="95">IF(L58=0,"",IF(L$54="","",$I55*$T$3))</f>
        <v>#NAME?</v>
      </c>
      <c r="M55" s="53" t="e">
        <f t="shared" ca="1" si="95"/>
        <v>#NAME?</v>
      </c>
      <c r="N55" s="475" t="e">
        <f ca="1">(SUMIF(J57:M57,"&gt;0.0")/SUMIF(J58:M58,"&gt;0.0"))*100</f>
        <v>#DIV/0!</v>
      </c>
      <c r="O55" s="475"/>
      <c r="P55" s="475" t="e">
        <f ca="1">IF(N55&gt;($Z$3*100),"Yes","No")</f>
        <v>#DIV/0!</v>
      </c>
      <c r="Q55" s="475"/>
      <c r="R55" s="20"/>
      <c r="S55" s="20"/>
      <c r="T55" s="20"/>
      <c r="U55" s="20"/>
      <c r="V55" s="39" t="e">
        <f ca="1">IFERROR(SUM(J55:P56)/COUNTIF(J55:P55,"&gt;0.0"),NA())</f>
        <v>#N/A</v>
      </c>
      <c r="W55" s="20"/>
      <c r="X55" s="20"/>
      <c r="Y55" s="20"/>
      <c r="Z55" s="20"/>
      <c r="AA55" s="20"/>
    </row>
    <row r="56" spans="1:27" ht="18.75" hidden="1" customHeight="1">
      <c r="A56" s="20"/>
      <c r="B56" s="20"/>
      <c r="C56" s="20"/>
      <c r="D56" s="478"/>
      <c r="E56" s="478"/>
      <c r="F56" s="526" t="s">
        <v>66</v>
      </c>
      <c r="G56" s="526"/>
      <c r="H56" s="526"/>
      <c r="I56" s="526"/>
      <c r="J56" s="53" t="e">
        <f ca="1">IF(J58=0,"",IFERROR(J$54*$T$4,""))</f>
        <v>#NAME?</v>
      </c>
      <c r="K56" s="53" t="e">
        <f t="shared" ref="K56:M56" ca="1" si="96">IF(K58=0,"",IFERROR(K$54*$T$4,""))</f>
        <v>#NAME?</v>
      </c>
      <c r="L56" s="53" t="e">
        <f t="shared" ca="1" si="96"/>
        <v>#NAME?</v>
      </c>
      <c r="M56" s="53" t="e">
        <f t="shared" ca="1" si="96"/>
        <v>#NAME?</v>
      </c>
      <c r="N56" s="475"/>
      <c r="O56" s="475"/>
      <c r="P56" s="475"/>
      <c r="Q56" s="475"/>
      <c r="R56" s="20"/>
      <c r="S56" s="20"/>
      <c r="T56" s="20"/>
      <c r="U56" s="20"/>
      <c r="V56" s="39" t="e">
        <f>NA()</f>
        <v>#N/A</v>
      </c>
      <c r="W56" s="20"/>
      <c r="X56" s="20"/>
      <c r="Y56" s="20"/>
      <c r="Z56" s="20"/>
      <c r="AA56" s="20"/>
    </row>
    <row r="57" spans="1:27" ht="18.75" hidden="1" customHeight="1">
      <c r="A57" s="20"/>
      <c r="B57" s="20"/>
      <c r="C57" s="20"/>
      <c r="D57" s="478"/>
      <c r="E57" s="478"/>
      <c r="F57" s="481" t="str">
        <f>D55 &amp; "     Attainment"</f>
        <v>C0.1     Attainment</v>
      </c>
      <c r="G57" s="482"/>
      <c r="H57" s="482"/>
      <c r="I57" s="483"/>
      <c r="J57" s="108" t="e">
        <f ca="1">IF(J58=0,"",(J55)+(J56))</f>
        <v>#NAME?</v>
      </c>
      <c r="K57" s="108" t="e">
        <f ca="1">IF(K58=0,"",(K55)+(K56))</f>
        <v>#NAME?</v>
      </c>
      <c r="L57" s="108" t="e">
        <f t="shared" ref="L57:M57" ca="1" si="97">IF(L58=0,"",(L55)+(L56))</f>
        <v>#NAME?</v>
      </c>
      <c r="M57" s="108" t="e">
        <f t="shared" ca="1" si="97"/>
        <v>#NAME?</v>
      </c>
      <c r="N57" s="475"/>
      <c r="O57" s="475"/>
      <c r="P57" s="475"/>
      <c r="Q57" s="475"/>
      <c r="R57" s="20"/>
      <c r="S57" s="20"/>
      <c r="T57" s="20"/>
      <c r="U57" s="20"/>
      <c r="V57" s="39" t="e">
        <f ca="1">IFERROR(SUM(J57:P57)/COUNTIF(J57:P57,"&gt;0.0"),NA())</f>
        <v>#N/A</v>
      </c>
      <c r="W57" s="20"/>
      <c r="X57" s="20"/>
      <c r="Y57" s="20"/>
      <c r="Z57" s="20"/>
      <c r="AA57" s="20"/>
    </row>
    <row r="58" spans="1:27" ht="18.75" hidden="1" customHeight="1">
      <c r="A58" s="20"/>
      <c r="B58" s="20"/>
      <c r="C58" s="20"/>
      <c r="D58" s="199"/>
      <c r="E58" s="199"/>
      <c r="F58" s="184"/>
      <c r="G58" s="185"/>
      <c r="H58" s="185"/>
      <c r="I58" s="186"/>
      <c r="J58" s="108" t="e">
        <f ca="1">IF(ColorIndex('Student Details'!L38)&gt;5,0,IF(ColorIndex('Student Details'!L38)=5,1,IF(ColorIndex('Student Details'!L38)=4,2,3)))</f>
        <v>#NAME?</v>
      </c>
      <c r="K58" s="108" t="e">
        <f ca="1">IF(ColorIndex('Student Details'!M38)&gt;5,0,IF(ColorIndex('Student Details'!M38)=5,1,IF(ColorIndex('Student Details'!M38)=4,2,3)))</f>
        <v>#NAME?</v>
      </c>
      <c r="L58" s="108" t="e">
        <f ca="1">IF(ColorIndex('Student Details'!N38)&gt;5,0,IF(ColorIndex('Student Details'!N38)=5,1,IF(ColorIndex('Student Details'!N38)=4,2,3)))</f>
        <v>#NAME?</v>
      </c>
      <c r="M58" s="108" t="e">
        <f ca="1">IF(ColorIndex('Student Details'!O38)&gt;5,0,IF(ColorIndex('Student Details'!O38)=5,1,IF(ColorIndex('Student Details'!O38)=4,2,3)))</f>
        <v>#NAME?</v>
      </c>
      <c r="N58" s="193"/>
      <c r="O58" s="194"/>
      <c r="P58" s="193"/>
      <c r="Q58" s="194"/>
      <c r="R58" s="20"/>
      <c r="S58" s="20"/>
      <c r="T58" s="20"/>
      <c r="U58" s="20"/>
      <c r="V58" s="39"/>
      <c r="W58" s="20"/>
      <c r="X58" s="20"/>
      <c r="Y58" s="20"/>
      <c r="Z58" s="20"/>
      <c r="AA58" s="20"/>
    </row>
    <row r="59" spans="1:27" ht="18.75" hidden="1" customHeight="1">
      <c r="A59" s="20"/>
      <c r="B59" s="20"/>
      <c r="C59" s="20"/>
      <c r="D59" s="478" t="str">
        <f>'Student List'!$F$14</f>
        <v>C0.2</v>
      </c>
      <c r="E59" s="478"/>
      <c r="F59" s="524" t="s">
        <v>118</v>
      </c>
      <c r="G59" s="525"/>
      <c r="H59" s="197" t="s">
        <v>119</v>
      </c>
      <c r="I59" s="198">
        <f>$H$5</f>
        <v>2.737704918032787</v>
      </c>
      <c r="J59" s="53" t="e">
        <f ca="1">IF(J62=0,"",IF(J$54="","",$I59*$T$3))</f>
        <v>#NAME?</v>
      </c>
      <c r="K59" s="53" t="e">
        <f ca="1">IF(K62=0,"",IF(K$54="","",$I59*$T$3))</f>
        <v>#NAME?</v>
      </c>
      <c r="L59" s="53" t="e">
        <f t="shared" ref="L59:M59" ca="1" si="98">IF(L62=0,"",IF(L$54="","",$I59*$T$3))</f>
        <v>#NAME?</v>
      </c>
      <c r="M59" s="53" t="e">
        <f t="shared" ca="1" si="98"/>
        <v>#NAME?</v>
      </c>
      <c r="N59" s="475" t="e">
        <f ca="1">(SUMIF(J61:M61,"&gt;0.0")/SUMIF(J62:M62,"&gt;0.0"))*100</f>
        <v>#DIV/0!</v>
      </c>
      <c r="O59" s="475"/>
      <c r="P59" s="475" t="e">
        <f ca="1">IF(N59&gt;($Z$3*100),"Yes","No")</f>
        <v>#DIV/0!</v>
      </c>
      <c r="Q59" s="475"/>
      <c r="R59" s="20"/>
      <c r="S59" s="20"/>
      <c r="T59" s="20"/>
      <c r="U59" s="20"/>
      <c r="V59" s="39" t="e">
        <f ca="1">IFERROR(SUM(J59:P60)/COUNTIF(J59:P59,"&gt;0.0"),NA())</f>
        <v>#N/A</v>
      </c>
      <c r="W59" s="20"/>
      <c r="X59" s="20"/>
      <c r="Y59" s="20"/>
      <c r="Z59" s="20"/>
      <c r="AA59" s="20"/>
    </row>
    <row r="60" spans="1:27" ht="18.75" hidden="1" customHeight="1">
      <c r="A60" s="20"/>
      <c r="B60" s="20"/>
      <c r="C60" s="20"/>
      <c r="D60" s="478"/>
      <c r="E60" s="478"/>
      <c r="F60" s="526" t="s">
        <v>66</v>
      </c>
      <c r="G60" s="526"/>
      <c r="H60" s="526"/>
      <c r="I60" s="526"/>
      <c r="J60" s="53" t="e">
        <f ca="1">IF(J62=0,"",IFERROR(J$54*$T$4,""))</f>
        <v>#NAME?</v>
      </c>
      <c r="K60" s="53" t="e">
        <f t="shared" ref="K60:M60" ca="1" si="99">IF(K62=0,"",IFERROR(K$54*$T$4,""))</f>
        <v>#NAME?</v>
      </c>
      <c r="L60" s="53" t="e">
        <f t="shared" ca="1" si="99"/>
        <v>#NAME?</v>
      </c>
      <c r="M60" s="53" t="e">
        <f t="shared" ca="1" si="99"/>
        <v>#NAME?</v>
      </c>
      <c r="N60" s="475"/>
      <c r="O60" s="475"/>
      <c r="P60" s="475"/>
      <c r="Q60" s="475"/>
      <c r="R60" s="20"/>
      <c r="S60" s="20"/>
      <c r="T60" s="20"/>
      <c r="U60" s="20"/>
      <c r="V60" s="39" t="e">
        <f>NA()</f>
        <v>#N/A</v>
      </c>
      <c r="W60" s="20"/>
      <c r="X60" s="20"/>
      <c r="Y60" s="20"/>
      <c r="Z60" s="20"/>
      <c r="AA60" s="20"/>
    </row>
    <row r="61" spans="1:27" ht="18.75" hidden="1" customHeight="1">
      <c r="A61" s="20"/>
      <c r="B61" s="20"/>
      <c r="C61" s="20"/>
      <c r="D61" s="478"/>
      <c r="E61" s="478"/>
      <c r="F61" s="481" t="str">
        <f>D59 &amp; "     Attainment"</f>
        <v>C0.2     Attainment</v>
      </c>
      <c r="G61" s="482"/>
      <c r="H61" s="482"/>
      <c r="I61" s="483"/>
      <c r="J61" s="108" t="e">
        <f ca="1">IF(J62=0,"",(J59)+(J60))</f>
        <v>#NAME?</v>
      </c>
      <c r="K61" s="108" t="e">
        <f ca="1">IF(K62=0,"",(K59)+(K60))</f>
        <v>#NAME?</v>
      </c>
      <c r="L61" s="108" t="e">
        <f t="shared" ref="L61" ca="1" si="100">IF(L62=0,"",(L59)+(L60))</f>
        <v>#NAME?</v>
      </c>
      <c r="M61" s="108" t="e">
        <f t="shared" ref="M61" ca="1" si="101">IF(M62=0,"",(M59)+(M60))</f>
        <v>#NAME?</v>
      </c>
      <c r="N61" s="475"/>
      <c r="O61" s="475"/>
      <c r="P61" s="475"/>
      <c r="Q61" s="475"/>
      <c r="R61" s="20"/>
      <c r="S61" s="20"/>
      <c r="T61" s="20"/>
      <c r="U61" s="20"/>
      <c r="V61" s="39" t="e">
        <f ca="1">IFERROR(SUM(J61:P61)/COUNTIF(J61:P61,"&gt;0.0"),NA())</f>
        <v>#N/A</v>
      </c>
      <c r="W61" s="20"/>
      <c r="X61" s="20"/>
      <c r="Y61" s="20"/>
      <c r="Z61" s="20"/>
      <c r="AA61" s="20"/>
    </row>
    <row r="62" spans="1:27" ht="18.75" hidden="1" customHeight="1">
      <c r="A62" s="20"/>
      <c r="B62" s="20"/>
      <c r="C62" s="20"/>
      <c r="D62" s="199"/>
      <c r="E62" s="199"/>
      <c r="F62" s="184"/>
      <c r="G62" s="185"/>
      <c r="H62" s="185"/>
      <c r="I62" s="186"/>
      <c r="J62" s="108" t="e">
        <f ca="1">IF(ColorIndex('Student Details'!L39)&gt;5,0,IF(ColorIndex('Student Details'!L39)=5,1,IF(ColorIndex('Student Details'!L39)=4,2,3)))</f>
        <v>#NAME?</v>
      </c>
      <c r="K62" s="108" t="e">
        <f ca="1">IF(ColorIndex('Student Details'!M39)&gt;5,0,IF(ColorIndex('Student Details'!M39)=5,1,IF(ColorIndex('Student Details'!M39)=4,2,3)))</f>
        <v>#NAME?</v>
      </c>
      <c r="L62" s="108" t="e">
        <f ca="1">IF(ColorIndex('Student Details'!N39)&gt;5,0,IF(ColorIndex('Student Details'!N39)=5,1,IF(ColorIndex('Student Details'!N39)=4,2,3)))</f>
        <v>#NAME?</v>
      </c>
      <c r="M62" s="108" t="e">
        <f ca="1">IF(ColorIndex('Student Details'!O39)&gt;5,0,IF(ColorIndex('Student Details'!O39)=5,1,IF(ColorIndex('Student Details'!O39)=4,2,3)))</f>
        <v>#NAME?</v>
      </c>
      <c r="N62" s="193"/>
      <c r="O62" s="194"/>
      <c r="P62" s="193"/>
      <c r="Q62" s="194"/>
      <c r="R62" s="20"/>
      <c r="S62" s="20"/>
      <c r="T62" s="20"/>
      <c r="U62" s="20"/>
      <c r="V62" s="39"/>
      <c r="W62" s="20"/>
      <c r="X62" s="20"/>
      <c r="Y62" s="20"/>
      <c r="Z62" s="20"/>
      <c r="AA62" s="20"/>
    </row>
    <row r="63" spans="1:27" ht="18.75" hidden="1" customHeight="1">
      <c r="A63" s="20"/>
      <c r="B63" s="20"/>
      <c r="C63" s="20"/>
      <c r="D63" s="478" t="str">
        <f>'Student List'!$F$16</f>
        <v>C0.3</v>
      </c>
      <c r="E63" s="478"/>
      <c r="F63" s="524" t="s">
        <v>118</v>
      </c>
      <c r="G63" s="525"/>
      <c r="H63" s="197" t="s">
        <v>119</v>
      </c>
      <c r="I63" s="198">
        <f>$H$6</f>
        <v>2.5737704918032787</v>
      </c>
      <c r="J63" s="53" t="e">
        <f ca="1">IF(J66=0,"",IF(J$54="","",$I63*$T$3))</f>
        <v>#NAME?</v>
      </c>
      <c r="K63" s="53" t="e">
        <f ca="1">IF(K66=0,"",IF(K$54="","",$I63*$T$3))</f>
        <v>#NAME?</v>
      </c>
      <c r="L63" s="53" t="e">
        <f t="shared" ref="L63:M63" ca="1" si="102">IF(L66=0,"",IF(L$54="","",$I63*$T$3))</f>
        <v>#NAME?</v>
      </c>
      <c r="M63" s="53" t="e">
        <f t="shared" ca="1" si="102"/>
        <v>#NAME?</v>
      </c>
      <c r="N63" s="475" t="e">
        <f ca="1">(SUMIF(J65:M65,"&gt;0.0")/SUMIF(J66:M66,"&gt;0.0"))*100</f>
        <v>#DIV/0!</v>
      </c>
      <c r="O63" s="475"/>
      <c r="P63" s="475" t="e">
        <f ca="1">IF(N63&gt;($Z$3*100),"Yes","No")</f>
        <v>#DIV/0!</v>
      </c>
      <c r="Q63" s="475"/>
      <c r="R63" s="20"/>
      <c r="S63" s="20"/>
      <c r="T63" s="20"/>
      <c r="U63" s="20"/>
      <c r="V63" s="39" t="e">
        <f ca="1">IFERROR(SUM(J63:P64)/COUNTIF(J63:P63,"&gt;0.0"),NA())</f>
        <v>#N/A</v>
      </c>
      <c r="W63" s="20"/>
      <c r="X63" s="20"/>
      <c r="Y63" s="20"/>
      <c r="Z63" s="20"/>
      <c r="AA63" s="20"/>
    </row>
    <row r="64" spans="1:27" ht="18.75" hidden="1" customHeight="1">
      <c r="A64" s="20"/>
      <c r="B64" s="20"/>
      <c r="C64" s="20"/>
      <c r="D64" s="478"/>
      <c r="E64" s="478"/>
      <c r="F64" s="526" t="s">
        <v>66</v>
      </c>
      <c r="G64" s="526"/>
      <c r="H64" s="526"/>
      <c r="I64" s="526"/>
      <c r="J64" s="53" t="e">
        <f ca="1">IF(J66=0,"",IFERROR(J$54*$T$4,""))</f>
        <v>#NAME?</v>
      </c>
      <c r="K64" s="53" t="e">
        <f t="shared" ref="K64:M64" ca="1" si="103">IF(K66=0,"",IFERROR(K$54*$T$4,""))</f>
        <v>#NAME?</v>
      </c>
      <c r="L64" s="53" t="e">
        <f t="shared" ca="1" si="103"/>
        <v>#NAME?</v>
      </c>
      <c r="M64" s="53" t="e">
        <f t="shared" ca="1" si="103"/>
        <v>#NAME?</v>
      </c>
      <c r="N64" s="475"/>
      <c r="O64" s="475"/>
      <c r="P64" s="475"/>
      <c r="Q64" s="475"/>
      <c r="R64" s="20"/>
      <c r="S64" s="20"/>
      <c r="T64" s="20"/>
      <c r="U64" s="20"/>
      <c r="V64" s="39" t="e">
        <f>NA()</f>
        <v>#N/A</v>
      </c>
      <c r="W64" s="20"/>
      <c r="X64" s="20"/>
      <c r="Y64" s="20"/>
      <c r="Z64" s="20"/>
      <c r="AA64" s="20"/>
    </row>
    <row r="65" spans="1:27" ht="25.5" hidden="1" customHeight="1">
      <c r="A65" s="20"/>
      <c r="B65" s="20"/>
      <c r="C65" s="20"/>
      <c r="D65" s="478"/>
      <c r="E65" s="478"/>
      <c r="F65" s="481" t="str">
        <f>D63 &amp; "     Attainment"</f>
        <v>C0.3     Attainment</v>
      </c>
      <c r="G65" s="482"/>
      <c r="H65" s="482"/>
      <c r="I65" s="483"/>
      <c r="J65" s="108" t="e">
        <f ca="1">IF(J66=0,"",(J63)+(J64))</f>
        <v>#NAME?</v>
      </c>
      <c r="K65" s="108" t="e">
        <f ca="1">IF(K66=0,"",(K63)+(K64))</f>
        <v>#NAME?</v>
      </c>
      <c r="L65" s="108" t="e">
        <f t="shared" ref="L65" ca="1" si="104">IF(L66=0,"",(L63)+(L64))</f>
        <v>#NAME?</v>
      </c>
      <c r="M65" s="108" t="e">
        <f t="shared" ref="M65" ca="1" si="105">IF(M66=0,"",(M63)+(M64))</f>
        <v>#NAME?</v>
      </c>
      <c r="N65" s="475"/>
      <c r="O65" s="475"/>
      <c r="P65" s="475"/>
      <c r="Q65" s="475"/>
      <c r="R65" s="20"/>
      <c r="S65" s="20"/>
      <c r="T65" s="20"/>
      <c r="U65" s="20"/>
      <c r="V65" s="39">
        <f ca="1">IFERROR(SUM(J65:P65)/COUNTIF(J65:P65,"&gt;0.0"),0)</f>
        <v>0</v>
      </c>
      <c r="W65" s="20"/>
      <c r="X65" s="20"/>
      <c r="Y65" s="20"/>
      <c r="Z65" s="20"/>
      <c r="AA65" s="20"/>
    </row>
    <row r="66" spans="1:27" ht="18.75" hidden="1" customHeight="1">
      <c r="A66" s="20"/>
      <c r="B66" s="20"/>
      <c r="C66" s="20"/>
      <c r="D66" s="199"/>
      <c r="E66" s="199"/>
      <c r="F66" s="184"/>
      <c r="G66" s="185"/>
      <c r="H66" s="185"/>
      <c r="I66" s="186"/>
      <c r="J66" s="108" t="e">
        <f ca="1">IF(ColorIndex('Student Details'!L40)&gt;5,0,IF(ColorIndex('Student Details'!L40)=5,1,IF(ColorIndex('Student Details'!L40)=4,2,3)))</f>
        <v>#NAME?</v>
      </c>
      <c r="K66" s="108" t="e">
        <f ca="1">IF(ColorIndex('Student Details'!M40)&gt;5,0,IF(ColorIndex('Student Details'!M40)=5,1,IF(ColorIndex('Student Details'!M40)=4,2,3)))</f>
        <v>#NAME?</v>
      </c>
      <c r="L66" s="108" t="e">
        <f ca="1">IF(ColorIndex('Student Details'!N40)&gt;5,0,IF(ColorIndex('Student Details'!N40)=5,1,IF(ColorIndex('Student Details'!N40)=4,2,3)))</f>
        <v>#NAME?</v>
      </c>
      <c r="M66" s="108" t="e">
        <f ca="1">IF(ColorIndex('Student Details'!O40)&gt;5,0,IF(ColorIndex('Student Details'!O40)=5,1,IF(ColorIndex('Student Details'!O40)=4,2,3)))</f>
        <v>#NAME?</v>
      </c>
      <c r="N66" s="193"/>
      <c r="O66" s="194"/>
      <c r="P66" s="193"/>
      <c r="Q66" s="194"/>
      <c r="R66" s="20"/>
      <c r="S66" s="20"/>
      <c r="T66" s="20"/>
      <c r="U66" s="20"/>
      <c r="V66" s="39"/>
      <c r="W66" s="20"/>
      <c r="X66" s="20"/>
      <c r="Y66" s="20"/>
      <c r="Z66" s="20"/>
      <c r="AA66" s="20"/>
    </row>
    <row r="67" spans="1:27" ht="18.75" hidden="1" customHeight="1">
      <c r="A67" s="20"/>
      <c r="B67" s="20"/>
      <c r="C67" s="20"/>
      <c r="D67" s="478" t="str">
        <f>'Student List'!$F$18</f>
        <v>C0.4</v>
      </c>
      <c r="E67" s="478"/>
      <c r="F67" s="524" t="s">
        <v>118</v>
      </c>
      <c r="G67" s="525"/>
      <c r="H67" s="197" t="s">
        <v>119</v>
      </c>
      <c r="I67" s="198">
        <f>$H$7</f>
        <v>2.8032786885245899</v>
      </c>
      <c r="J67" s="53" t="e">
        <f ca="1">IF(J70=0,"",IF(J$54="","",$I67*$T$3))</f>
        <v>#NAME?</v>
      </c>
      <c r="K67" s="53" t="e">
        <f ca="1">IF(K70=0,"",IF(K$54="","",$I67*$T$3))</f>
        <v>#NAME?</v>
      </c>
      <c r="L67" s="53" t="e">
        <f t="shared" ref="L67:M67" ca="1" si="106">IF(L70=0,"",IF(L$54="","",$I67*$T$3))</f>
        <v>#NAME?</v>
      </c>
      <c r="M67" s="53" t="e">
        <f t="shared" ca="1" si="106"/>
        <v>#NAME?</v>
      </c>
      <c r="N67" s="475" t="e">
        <f ca="1">(SUMIF(J69:M69,"&gt;0.0")/SUMIF(J70:M70,"&gt;0.0"))*100</f>
        <v>#DIV/0!</v>
      </c>
      <c r="O67" s="475"/>
      <c r="P67" s="475" t="e">
        <f ca="1">IF(N67&gt;($Z$3*100),"Yes","No")</f>
        <v>#DIV/0!</v>
      </c>
      <c r="Q67" s="475"/>
      <c r="R67" s="20"/>
      <c r="S67" s="20"/>
      <c r="T67" s="20"/>
      <c r="U67" s="20"/>
      <c r="V67" s="39" t="e">
        <f ca="1">IFERROR(SUM(J67:P68)/COUNTIF(J67:P67,"&gt;0.0"),NA())</f>
        <v>#N/A</v>
      </c>
      <c r="W67" s="20"/>
      <c r="X67" s="20"/>
      <c r="Y67" s="20"/>
      <c r="Z67" s="20"/>
      <c r="AA67" s="20"/>
    </row>
    <row r="68" spans="1:27" ht="18.75" hidden="1" customHeight="1">
      <c r="A68" s="20"/>
      <c r="B68" s="20"/>
      <c r="C68" s="20"/>
      <c r="D68" s="478"/>
      <c r="E68" s="478"/>
      <c r="F68" s="526" t="s">
        <v>66</v>
      </c>
      <c r="G68" s="526"/>
      <c r="H68" s="526"/>
      <c r="I68" s="526"/>
      <c r="J68" s="53" t="e">
        <f ca="1">IF(J70=0,"",IFERROR(J$54*$T$4,""))</f>
        <v>#NAME?</v>
      </c>
      <c r="K68" s="53" t="e">
        <f t="shared" ref="K68:M68" ca="1" si="107">IF(K70=0,"",IFERROR(K$54*$T$4,""))</f>
        <v>#NAME?</v>
      </c>
      <c r="L68" s="53" t="e">
        <f t="shared" ca="1" si="107"/>
        <v>#NAME?</v>
      </c>
      <c r="M68" s="53" t="e">
        <f t="shared" ca="1" si="107"/>
        <v>#NAME?</v>
      </c>
      <c r="N68" s="475"/>
      <c r="O68" s="475"/>
      <c r="P68" s="475"/>
      <c r="Q68" s="475"/>
      <c r="R68" s="20"/>
      <c r="S68" s="20"/>
      <c r="T68" s="20"/>
      <c r="U68" s="20"/>
      <c r="V68" s="39" t="e">
        <f>NA()</f>
        <v>#N/A</v>
      </c>
      <c r="W68" s="20"/>
      <c r="X68" s="20"/>
      <c r="Y68" s="20"/>
      <c r="Z68" s="20"/>
      <c r="AA68" s="20"/>
    </row>
    <row r="69" spans="1:27" ht="18.75" hidden="1" customHeight="1">
      <c r="A69" s="20"/>
      <c r="B69" s="20"/>
      <c r="C69" s="20"/>
      <c r="D69" s="478"/>
      <c r="E69" s="478"/>
      <c r="F69" s="481" t="str">
        <f>D67 &amp; "     Attainment"</f>
        <v>C0.4     Attainment</v>
      </c>
      <c r="G69" s="482"/>
      <c r="H69" s="482"/>
      <c r="I69" s="483"/>
      <c r="J69" s="108" t="e">
        <f ca="1">IF(J70=0,"",(J67)+(J68))</f>
        <v>#NAME?</v>
      </c>
      <c r="K69" s="108" t="e">
        <f ca="1">IF(K70=0,"",(K67)+(K68))</f>
        <v>#NAME?</v>
      </c>
      <c r="L69" s="108" t="e">
        <f t="shared" ref="L69" ca="1" si="108">IF(L70=0,"",(L67)+(L68))</f>
        <v>#NAME?</v>
      </c>
      <c r="M69" s="108" t="e">
        <f t="shared" ref="M69" ca="1" si="109">IF(M70=0,"",(M67)+(M68))</f>
        <v>#NAME?</v>
      </c>
      <c r="N69" s="475"/>
      <c r="O69" s="475"/>
      <c r="P69" s="475"/>
      <c r="Q69" s="475"/>
      <c r="R69" s="20"/>
      <c r="S69" s="20"/>
      <c r="T69" s="20"/>
      <c r="U69" s="20"/>
      <c r="V69" s="39" t="e">
        <f ca="1">IFERROR(SUM(J69:P69)/COUNTIF(J69:P69,"&gt;0.0"),NA())</f>
        <v>#N/A</v>
      </c>
      <c r="W69" s="20"/>
      <c r="X69" s="20"/>
      <c r="Y69" s="20"/>
      <c r="Z69" s="20"/>
      <c r="AA69" s="20"/>
    </row>
    <row r="70" spans="1:27" ht="18.75" hidden="1" customHeight="1">
      <c r="A70" s="20"/>
      <c r="B70" s="20"/>
      <c r="C70" s="20"/>
      <c r="D70" s="199"/>
      <c r="E70" s="199"/>
      <c r="F70" s="184"/>
      <c r="G70" s="185"/>
      <c r="H70" s="185"/>
      <c r="I70" s="186"/>
      <c r="J70" s="108" t="e">
        <f ca="1">IF(ColorIndex('Student Details'!L41)&gt;5,0,IF(ColorIndex('Student Details'!L41)=5,1,IF(ColorIndex('Student Details'!L41)=4,2,3)))</f>
        <v>#NAME?</v>
      </c>
      <c r="K70" s="108" t="e">
        <f ca="1">IF(ColorIndex('Student Details'!M41)&gt;5,0,IF(ColorIndex('Student Details'!M41)=5,1,IF(ColorIndex('Student Details'!M41)=4,2,3)))</f>
        <v>#NAME?</v>
      </c>
      <c r="L70" s="108" t="e">
        <f ca="1">IF(ColorIndex('Student Details'!N41)&gt;5,0,IF(ColorIndex('Student Details'!N41)=5,1,IF(ColorIndex('Student Details'!N41)=4,2,3)))</f>
        <v>#NAME?</v>
      </c>
      <c r="M70" s="108" t="e">
        <f ca="1">IF(ColorIndex('Student Details'!O41)&gt;5,0,IF(ColorIndex('Student Details'!O41)=5,1,IF(ColorIndex('Student Details'!O41)=4,2,3)))</f>
        <v>#NAME?</v>
      </c>
      <c r="N70" s="193"/>
      <c r="O70" s="194"/>
      <c r="P70" s="193"/>
      <c r="Q70" s="194"/>
      <c r="R70" s="20"/>
      <c r="S70" s="20"/>
      <c r="T70" s="20"/>
      <c r="U70" s="20"/>
      <c r="V70" s="39"/>
      <c r="W70" s="20"/>
      <c r="X70" s="20"/>
      <c r="Y70" s="20"/>
      <c r="Z70" s="20"/>
      <c r="AA70" s="20"/>
    </row>
    <row r="71" spans="1:27" ht="18.75" hidden="1" customHeight="1">
      <c r="A71" s="20"/>
      <c r="B71" s="20"/>
      <c r="C71" s="20"/>
      <c r="D71" s="478" t="str">
        <f>'Student List'!$F$20</f>
        <v>C0.5</v>
      </c>
      <c r="E71" s="478"/>
      <c r="F71" s="524" t="s">
        <v>118</v>
      </c>
      <c r="G71" s="525"/>
      <c r="H71" s="197" t="s">
        <v>119</v>
      </c>
      <c r="I71" s="198">
        <f>$H$8</f>
        <v>2.6885245901639343</v>
      </c>
      <c r="J71" s="53" t="e">
        <f ca="1">IF(J74=0,"",IF(J$54="","",$I71*$T$3))</f>
        <v>#NAME?</v>
      </c>
      <c r="K71" s="53" t="e">
        <f ca="1">IF(K74=0,"",IF(K$54="","",$I71*$T$3))</f>
        <v>#NAME?</v>
      </c>
      <c r="L71" s="53" t="e">
        <f t="shared" ref="L71:M71" ca="1" si="110">IF(L74=0,"",IF(L$54="","",$I71*$T$3))</f>
        <v>#NAME?</v>
      </c>
      <c r="M71" s="53" t="e">
        <f t="shared" ca="1" si="110"/>
        <v>#NAME?</v>
      </c>
      <c r="N71" s="475" t="e">
        <f ca="1">(SUMIF(J73:M73,"&gt;0.0")/SUMIF(J74:M74,"&gt;0.0"))*100</f>
        <v>#DIV/0!</v>
      </c>
      <c r="O71" s="475"/>
      <c r="P71" s="475" t="e">
        <f ca="1">IF(N71&gt;($Z$3*100),"Yes","No")</f>
        <v>#DIV/0!</v>
      </c>
      <c r="Q71" s="475"/>
      <c r="R71" s="20"/>
      <c r="S71" s="20"/>
      <c r="T71" s="20"/>
      <c r="U71" s="20"/>
      <c r="V71" s="39" t="e">
        <f ca="1">IFERROR(SUM(J71:P72)/COUNTIF(J71:P71,"&gt;0.0"),NA())</f>
        <v>#N/A</v>
      </c>
      <c r="W71" s="20"/>
      <c r="X71" s="20"/>
      <c r="Y71" s="20"/>
      <c r="Z71" s="20"/>
      <c r="AA71" s="20"/>
    </row>
    <row r="72" spans="1:27" ht="18.75" hidden="1" customHeight="1">
      <c r="A72" s="20"/>
      <c r="B72" s="20"/>
      <c r="C72" s="20"/>
      <c r="D72" s="478"/>
      <c r="E72" s="478"/>
      <c r="F72" s="526" t="s">
        <v>66</v>
      </c>
      <c r="G72" s="526"/>
      <c r="H72" s="526"/>
      <c r="I72" s="526"/>
      <c r="J72" s="53" t="e">
        <f ca="1">IF(J74=0,"",IFERROR(J$54*$T$4,""))</f>
        <v>#NAME?</v>
      </c>
      <c r="K72" s="53" t="e">
        <f t="shared" ref="K72:M72" ca="1" si="111">IF(K74=0,"",IFERROR(K$54*$T$4,""))</f>
        <v>#NAME?</v>
      </c>
      <c r="L72" s="53" t="e">
        <f t="shared" ca="1" si="111"/>
        <v>#NAME?</v>
      </c>
      <c r="M72" s="53" t="e">
        <f t="shared" ca="1" si="111"/>
        <v>#NAME?</v>
      </c>
      <c r="N72" s="475"/>
      <c r="O72" s="475"/>
      <c r="P72" s="475"/>
      <c r="Q72" s="475"/>
      <c r="R72" s="20"/>
      <c r="S72" s="20"/>
      <c r="T72" s="20"/>
      <c r="U72" s="20"/>
      <c r="V72" s="39" t="e">
        <f>NA()</f>
        <v>#N/A</v>
      </c>
      <c r="W72" s="20"/>
      <c r="X72" s="20"/>
      <c r="Y72" s="20"/>
      <c r="Z72" s="20"/>
      <c r="AA72" s="20"/>
    </row>
    <row r="73" spans="1:27" ht="18.75" hidden="1" customHeight="1">
      <c r="A73" s="20"/>
      <c r="B73" s="20"/>
      <c r="C73" s="20"/>
      <c r="D73" s="478"/>
      <c r="E73" s="478"/>
      <c r="F73" s="481" t="str">
        <f>D71 &amp; "     Attainment"</f>
        <v>C0.5     Attainment</v>
      </c>
      <c r="G73" s="482"/>
      <c r="H73" s="482"/>
      <c r="I73" s="483"/>
      <c r="J73" s="108" t="e">
        <f ca="1">IF(J74=0,"",(J71)+(J72))</f>
        <v>#NAME?</v>
      </c>
      <c r="K73" s="108" t="e">
        <f ca="1">IF(K74=0,"",(K71)+(K72))</f>
        <v>#NAME?</v>
      </c>
      <c r="L73" s="108" t="e">
        <f t="shared" ref="L73" ca="1" si="112">IF(L74=0,"",(L71)+(L72))</f>
        <v>#NAME?</v>
      </c>
      <c r="M73" s="108" t="e">
        <f t="shared" ref="M73" ca="1" si="113">IF(M74=0,"",(M71)+(M72))</f>
        <v>#NAME?</v>
      </c>
      <c r="N73" s="475"/>
      <c r="O73" s="475"/>
      <c r="P73" s="475"/>
      <c r="Q73" s="475"/>
      <c r="R73" s="20"/>
      <c r="S73" s="20"/>
      <c r="T73" s="20"/>
      <c r="U73" s="20"/>
      <c r="V73" s="39" t="e">
        <f ca="1">IFERROR(SUM(J73:P73)/COUNTIF(J73:P73,"&gt;0.0"),NA())</f>
        <v>#N/A</v>
      </c>
      <c r="W73" s="20"/>
      <c r="X73" s="20"/>
      <c r="Y73" s="20"/>
      <c r="Z73" s="20"/>
      <c r="AA73" s="20"/>
    </row>
    <row r="74" spans="1:27" ht="18.75" hidden="1" customHeight="1">
      <c r="A74" s="20"/>
      <c r="B74" s="20"/>
      <c r="C74" s="20"/>
      <c r="D74" s="199"/>
      <c r="E74" s="199"/>
      <c r="F74" s="184"/>
      <c r="G74" s="185"/>
      <c r="H74" s="185"/>
      <c r="I74" s="186"/>
      <c r="J74" s="108" t="e">
        <f ca="1">IF(ColorIndex('Student Details'!L42)&gt;5,0,IF(ColorIndex('Student Details'!L42)=5,1,IF(ColorIndex('Student Details'!L42)=4,2,3)))</f>
        <v>#NAME?</v>
      </c>
      <c r="K74" s="108" t="e">
        <f ca="1">IF(ColorIndex('Student Details'!M42)&gt;5,0,IF(ColorIndex('Student Details'!M42)=5,1,IF(ColorIndex('Student Details'!M42)=4,2,3)))</f>
        <v>#NAME?</v>
      </c>
      <c r="L74" s="108" t="e">
        <f ca="1">IF(ColorIndex('Student Details'!N42)&gt;5,0,IF(ColorIndex('Student Details'!N42)=5,1,IF(ColorIndex('Student Details'!N42)=4,2,3)))</f>
        <v>#NAME?</v>
      </c>
      <c r="M74" s="108" t="e">
        <f ca="1">IF(ColorIndex('Student Details'!O42)&gt;5,0,IF(ColorIndex('Student Details'!O42)=5,1,IF(ColorIndex('Student Details'!O42)=4,2,3)))</f>
        <v>#NAME?</v>
      </c>
      <c r="N74" s="193"/>
      <c r="O74" s="194"/>
      <c r="P74" s="193"/>
      <c r="Q74" s="194"/>
      <c r="R74" s="20"/>
      <c r="S74" s="20"/>
      <c r="T74" s="20"/>
      <c r="U74" s="20"/>
      <c r="V74" s="39"/>
      <c r="W74" s="20"/>
      <c r="X74" s="20"/>
      <c r="Y74" s="20"/>
      <c r="Z74" s="20"/>
      <c r="AA74" s="20"/>
    </row>
    <row r="75" spans="1:27" ht="18.75" hidden="1" customHeight="1">
      <c r="A75" s="20"/>
      <c r="B75" s="20"/>
      <c r="C75" s="20"/>
      <c r="D75" s="478" t="str">
        <f>'Student List'!$F$22</f>
        <v>C0.6</v>
      </c>
      <c r="E75" s="478"/>
      <c r="F75" s="524" t="s">
        <v>118</v>
      </c>
      <c r="G75" s="525"/>
      <c r="H75" s="197" t="s">
        <v>119</v>
      </c>
      <c r="I75" s="40">
        <f>$H$9</f>
        <v>0</v>
      </c>
      <c r="J75" s="53" t="e">
        <f ca="1">IF(J78=0,"",IF(J$54="","",$I75*$T$3))</f>
        <v>#NAME?</v>
      </c>
      <c r="K75" s="53" t="e">
        <f ca="1">IF(K78=0,"",IF(K$54="","",$I75*$T$3))</f>
        <v>#NAME?</v>
      </c>
      <c r="L75" s="53" t="e">
        <f t="shared" ref="L75:M75" ca="1" si="114">IF(L78=0,"",IF(L$54="","",$I75*$T$3))</f>
        <v>#NAME?</v>
      </c>
      <c r="M75" s="53" t="e">
        <f t="shared" ca="1" si="114"/>
        <v>#NAME?</v>
      </c>
      <c r="N75" s="475" t="e">
        <f ca="1">(SUMIF(J77:M77,"&gt;0.0")/SUMIF(J78:M78,"&gt;0.0"))*100</f>
        <v>#DIV/0!</v>
      </c>
      <c r="O75" s="475"/>
      <c r="P75" s="475" t="e">
        <f ca="1">IF(N75&gt;($Z$3*100),"Yes","No")</f>
        <v>#DIV/0!</v>
      </c>
      <c r="Q75" s="475"/>
      <c r="R75" s="20"/>
      <c r="S75" s="20"/>
      <c r="T75" s="20"/>
      <c r="U75" s="20"/>
      <c r="V75" s="39" t="e">
        <f ca="1">IFERROR(SUM(J75:P76)/COUNTIF(J75:P75,"&gt;0.0"),NA())</f>
        <v>#N/A</v>
      </c>
      <c r="W75" s="20"/>
      <c r="X75" s="20"/>
      <c r="Y75" s="20"/>
      <c r="Z75" s="20"/>
      <c r="AA75" s="20"/>
    </row>
    <row r="76" spans="1:27" ht="18.75" hidden="1" customHeight="1">
      <c r="A76" s="20"/>
      <c r="B76" s="20"/>
      <c r="C76" s="20"/>
      <c r="D76" s="478"/>
      <c r="E76" s="478"/>
      <c r="F76" s="526" t="s">
        <v>66</v>
      </c>
      <c r="G76" s="526"/>
      <c r="H76" s="526"/>
      <c r="I76" s="526"/>
      <c r="J76" s="53" t="e">
        <f ca="1">IF(J78=0,"",IFERROR(J$54*$T$4,""))</f>
        <v>#NAME?</v>
      </c>
      <c r="K76" s="53" t="e">
        <f t="shared" ref="K76:M76" ca="1" si="115">IF(K78=0,"",IFERROR(K$54*$T$4,""))</f>
        <v>#NAME?</v>
      </c>
      <c r="L76" s="53" t="e">
        <f t="shared" ca="1" si="115"/>
        <v>#NAME?</v>
      </c>
      <c r="M76" s="53" t="e">
        <f t="shared" ca="1" si="115"/>
        <v>#NAME?</v>
      </c>
      <c r="N76" s="475"/>
      <c r="O76" s="475"/>
      <c r="P76" s="475"/>
      <c r="Q76" s="475"/>
      <c r="R76" s="20"/>
      <c r="S76" s="20"/>
      <c r="T76" s="20"/>
      <c r="U76" s="20"/>
      <c r="V76" s="39" t="e">
        <f>NA()</f>
        <v>#N/A</v>
      </c>
      <c r="W76" s="20"/>
      <c r="X76" s="20"/>
      <c r="Y76" s="20"/>
      <c r="Z76" s="20"/>
      <c r="AA76" s="20"/>
    </row>
    <row r="77" spans="1:27" ht="18.75" hidden="1" customHeight="1">
      <c r="A77" s="20"/>
      <c r="B77" s="20"/>
      <c r="C77" s="20"/>
      <c r="D77" s="478"/>
      <c r="E77" s="478"/>
      <c r="F77" s="481" t="str">
        <f>D75 &amp; "     Attainment"</f>
        <v>C0.6     Attainment</v>
      </c>
      <c r="G77" s="482"/>
      <c r="H77" s="482"/>
      <c r="I77" s="483"/>
      <c r="J77" s="108" t="e">
        <f ca="1">IF(J78=0,"",(J75)+(J76))</f>
        <v>#NAME?</v>
      </c>
      <c r="K77" s="108" t="e">
        <f ca="1">IF(K78=0,"",(K75)+(K76))</f>
        <v>#NAME?</v>
      </c>
      <c r="L77" s="108" t="e">
        <f t="shared" ref="L77" ca="1" si="116">IF(L78=0,"",(L75)+(L76))</f>
        <v>#NAME?</v>
      </c>
      <c r="M77" s="108" t="e">
        <f t="shared" ref="M77" ca="1" si="117">IF(M78=0,"",(M75)+(M76))</f>
        <v>#NAME?</v>
      </c>
      <c r="N77" s="475"/>
      <c r="O77" s="475"/>
      <c r="P77" s="475"/>
      <c r="Q77" s="475"/>
      <c r="R77" s="20"/>
      <c r="S77" s="20"/>
      <c r="T77" s="20"/>
      <c r="U77" s="20"/>
      <c r="V77" s="39" t="e">
        <f ca="1">IFERROR(SUM(J77:P77)/COUNTIF(J77:P77,"&gt;0.0"),NA())</f>
        <v>#N/A</v>
      </c>
      <c r="W77" s="20"/>
      <c r="X77" s="20"/>
      <c r="Y77" s="20"/>
      <c r="Z77" s="20"/>
      <c r="AA77" s="20"/>
    </row>
    <row r="78" spans="1:27" ht="18.75" hidden="1" customHeight="1">
      <c r="A78" s="20"/>
      <c r="B78" s="20"/>
      <c r="C78" s="20"/>
      <c r="D78" s="199"/>
      <c r="E78" s="199"/>
      <c r="F78" s="184"/>
      <c r="G78" s="185"/>
      <c r="H78" s="185"/>
      <c r="I78" s="186"/>
      <c r="J78" s="108" t="e">
        <f ca="1">IF(ColorIndex('Student Details'!L43)&gt;5,0,IF(ColorIndex('Student Details'!L43)=5,1,IF(ColorIndex('Student Details'!L43)=4,2,3)))</f>
        <v>#NAME?</v>
      </c>
      <c r="K78" s="108" t="e">
        <f ca="1">IF(ColorIndex('Student Details'!M43)&gt;5,0,IF(ColorIndex('Student Details'!M43)=5,1,IF(ColorIndex('Student Details'!M43)=4,2,3)))</f>
        <v>#NAME?</v>
      </c>
      <c r="L78" s="108" t="e">
        <f ca="1">IF(ColorIndex('Student Details'!N43)&gt;5,0,IF(ColorIndex('Student Details'!N43)=5,1,IF(ColorIndex('Student Details'!N43)=4,2,3)))</f>
        <v>#NAME?</v>
      </c>
      <c r="M78" s="108" t="e">
        <f ca="1">IF(ColorIndex('Student Details'!O43)&gt;5,0,IF(ColorIndex('Student Details'!O43)=5,1,IF(ColorIndex('Student Details'!O43)=4,2,3)))</f>
        <v>#NAME?</v>
      </c>
      <c r="N78" s="193"/>
      <c r="O78" s="194"/>
      <c r="P78" s="193"/>
      <c r="Q78" s="194"/>
      <c r="R78" s="20"/>
      <c r="S78" s="20"/>
      <c r="T78" s="20"/>
      <c r="U78" s="20"/>
      <c r="V78" s="39"/>
      <c r="W78" s="20"/>
      <c r="X78" s="20"/>
      <c r="Y78" s="20"/>
      <c r="Z78" s="20"/>
      <c r="AA78" s="20"/>
    </row>
    <row r="79" spans="1:27" ht="18.75" hidden="1" customHeight="1">
      <c r="A79" s="20"/>
      <c r="B79" s="20"/>
      <c r="C79" s="20"/>
      <c r="D79" s="478" t="str">
        <f>'Student List'!$F$24</f>
        <v>C0.7</v>
      </c>
      <c r="E79" s="478"/>
      <c r="F79" s="524" t="s">
        <v>118</v>
      </c>
      <c r="G79" s="525"/>
      <c r="H79" s="197" t="s">
        <v>119</v>
      </c>
      <c r="I79" s="40">
        <f>$H$10</f>
        <v>0</v>
      </c>
      <c r="J79" s="53" t="e">
        <f ca="1">IF(J82=0,"",IF(J$54="","",$I79*$T$3))</f>
        <v>#NAME?</v>
      </c>
      <c r="K79" s="53" t="e">
        <f ca="1">IF(K82=0,"",IF(K$54="","",$I79*$T$3))</f>
        <v>#NAME?</v>
      </c>
      <c r="L79" s="53" t="e">
        <f t="shared" ref="L79:M79" ca="1" si="118">IF(L82=0,"",IF(L$54="","",$I79*$T$3))</f>
        <v>#NAME?</v>
      </c>
      <c r="M79" s="53" t="e">
        <f t="shared" ca="1" si="118"/>
        <v>#NAME?</v>
      </c>
      <c r="N79" s="475" t="e">
        <f ca="1">(SUMIF(J81:M81,"&gt;0.0")/SUMIF(J82:M82,"&gt;0.0"))*100</f>
        <v>#DIV/0!</v>
      </c>
      <c r="O79" s="475"/>
      <c r="P79" s="475" t="e">
        <f ca="1">IF(N79&gt;($Z$3*100),"Yes","No")</f>
        <v>#DIV/0!</v>
      </c>
      <c r="Q79" s="475"/>
      <c r="R79" s="20"/>
      <c r="S79" s="20"/>
      <c r="T79" s="20"/>
      <c r="U79" s="20"/>
      <c r="V79" s="39" t="e">
        <f ca="1">IFERROR(SUM(J79:P80)/COUNTIF(J79:P79,"&gt;0.0"),NA())</f>
        <v>#N/A</v>
      </c>
      <c r="W79" s="20"/>
      <c r="X79" s="20"/>
      <c r="Y79" s="20"/>
      <c r="Z79" s="20"/>
      <c r="AA79" s="20"/>
    </row>
    <row r="80" spans="1:27" ht="18.75" hidden="1" customHeight="1">
      <c r="A80" s="20"/>
      <c r="B80" s="20"/>
      <c r="C80" s="20"/>
      <c r="D80" s="478"/>
      <c r="E80" s="478"/>
      <c r="F80" s="526" t="s">
        <v>66</v>
      </c>
      <c r="G80" s="526"/>
      <c r="H80" s="526"/>
      <c r="I80" s="526"/>
      <c r="J80" s="53" t="e">
        <f ca="1">IF(J82=0,"",IFERROR(J$54*$T$4,""))</f>
        <v>#NAME?</v>
      </c>
      <c r="K80" s="53" t="e">
        <f t="shared" ref="K80:M80" ca="1" si="119">IF(K82=0,"",IFERROR(K$54*$T$4,""))</f>
        <v>#NAME?</v>
      </c>
      <c r="L80" s="53" t="e">
        <f t="shared" ca="1" si="119"/>
        <v>#NAME?</v>
      </c>
      <c r="M80" s="53" t="e">
        <f t="shared" ca="1" si="119"/>
        <v>#NAME?</v>
      </c>
      <c r="N80" s="475"/>
      <c r="O80" s="475"/>
      <c r="P80" s="475"/>
      <c r="Q80" s="475"/>
      <c r="R80" s="20"/>
      <c r="S80" s="20"/>
      <c r="T80" s="20"/>
      <c r="U80" s="20"/>
      <c r="V80" s="39" t="e">
        <f>NA()</f>
        <v>#N/A</v>
      </c>
      <c r="W80" s="20"/>
      <c r="X80" s="20"/>
      <c r="Y80" s="20"/>
      <c r="Z80" s="20"/>
      <c r="AA80" s="20"/>
    </row>
    <row r="81" spans="1:27" ht="18.75" hidden="1" customHeight="1">
      <c r="A81" s="20"/>
      <c r="B81" s="20"/>
      <c r="C81" s="20"/>
      <c r="D81" s="478"/>
      <c r="E81" s="478"/>
      <c r="F81" s="481" t="str">
        <f>D79 &amp; "     Attainment"</f>
        <v>C0.7     Attainment</v>
      </c>
      <c r="G81" s="482"/>
      <c r="H81" s="482"/>
      <c r="I81" s="483"/>
      <c r="J81" s="108" t="e">
        <f ca="1">IF(J82=0,"",(J79)+(J80))</f>
        <v>#NAME?</v>
      </c>
      <c r="K81" s="108" t="e">
        <f ca="1">IF(K82=0,"",(K79)+(K80))</f>
        <v>#NAME?</v>
      </c>
      <c r="L81" s="108" t="e">
        <f t="shared" ref="L81" ca="1" si="120">IF(L82=0,"",(L79)+(L80))</f>
        <v>#NAME?</v>
      </c>
      <c r="M81" s="108" t="e">
        <f t="shared" ref="M81" ca="1" si="121">IF(M82=0,"",(M79)+(M80))</f>
        <v>#NAME?</v>
      </c>
      <c r="N81" s="475"/>
      <c r="O81" s="475"/>
      <c r="P81" s="475"/>
      <c r="Q81" s="475"/>
      <c r="R81" s="20"/>
      <c r="S81" s="20"/>
      <c r="T81" s="20"/>
      <c r="U81" s="20"/>
      <c r="V81" s="39" t="e">
        <f ca="1">IFERROR(SUM(J81:P81)/COUNTIF(J81:P81,"&gt;0.0"),NA())</f>
        <v>#N/A</v>
      </c>
      <c r="W81" s="20"/>
      <c r="X81" s="20"/>
      <c r="Y81" s="20"/>
      <c r="Z81" s="20"/>
      <c r="AA81" s="20"/>
    </row>
    <row r="82" spans="1:27" ht="18.75" hidden="1" customHeight="1">
      <c r="A82" s="20"/>
      <c r="B82" s="20"/>
      <c r="C82" s="20"/>
      <c r="D82" s="199"/>
      <c r="E82" s="199"/>
      <c r="F82" s="184"/>
      <c r="G82" s="185"/>
      <c r="H82" s="185"/>
      <c r="I82" s="186"/>
      <c r="J82" s="108" t="e">
        <f ca="1">IF(ColorIndex('Student Details'!L44)&gt;5,0,IF(ColorIndex('Student Details'!L44)=5,1,IF(ColorIndex('Student Details'!L44)=4,2,3)))</f>
        <v>#NAME?</v>
      </c>
      <c r="K82" s="108" t="e">
        <f ca="1">IF(ColorIndex('Student Details'!M44)&gt;5,0,IF(ColorIndex('Student Details'!M44)=5,1,IF(ColorIndex('Student Details'!M44)=4,2,3)))</f>
        <v>#NAME?</v>
      </c>
      <c r="L82" s="108" t="e">
        <f ca="1">IF(ColorIndex('Student Details'!N44)&gt;5,0,IF(ColorIndex('Student Details'!N44)=5,1,IF(ColorIndex('Student Details'!N44)=4,2,3)))</f>
        <v>#NAME?</v>
      </c>
      <c r="M82" s="108" t="e">
        <f ca="1">IF(ColorIndex('Student Details'!O44)&gt;5,0,IF(ColorIndex('Student Details'!O44)=5,1,IF(ColorIndex('Student Details'!O44)=4,2,3)))</f>
        <v>#NAME?</v>
      </c>
      <c r="N82" s="193"/>
      <c r="O82" s="194"/>
      <c r="P82" s="193"/>
      <c r="Q82" s="194"/>
      <c r="R82" s="20"/>
      <c r="S82" s="20"/>
      <c r="T82" s="20"/>
      <c r="U82" s="20"/>
      <c r="V82" s="39"/>
      <c r="W82" s="20"/>
      <c r="X82" s="20"/>
      <c r="Y82" s="20"/>
      <c r="Z82" s="20"/>
      <c r="AA82" s="20"/>
    </row>
    <row r="83" spans="1:27" ht="18.75" hidden="1" customHeight="1">
      <c r="A83" s="20"/>
      <c r="B83" s="20"/>
      <c r="C83" s="20"/>
      <c r="D83" s="478" t="str">
        <f>'Student List'!$F$26</f>
        <v>C0.8</v>
      </c>
      <c r="E83" s="478"/>
      <c r="F83" s="524" t="s">
        <v>118</v>
      </c>
      <c r="G83" s="525"/>
      <c r="H83" s="197" t="s">
        <v>119</v>
      </c>
      <c r="I83" s="40">
        <f>H11</f>
        <v>0</v>
      </c>
      <c r="J83" s="53" t="e">
        <f ca="1">IF(J86=0,"",IF(J$54="","",$I83*$T$3))</f>
        <v>#NAME?</v>
      </c>
      <c r="K83" s="53" t="e">
        <f ca="1">IF(K86=0,"",IF(K$54="","",$I83*$T$3))</f>
        <v>#NAME?</v>
      </c>
      <c r="L83" s="53" t="e">
        <f ca="1">IF(L86=0,"",IF(L$54="","",$I83*$T$3))</f>
        <v>#NAME?</v>
      </c>
      <c r="M83" s="53" t="e">
        <f t="shared" ref="M83" ca="1" si="122">IF(M86=0,"",IF(M$54="","",$I83*$T$3))</f>
        <v>#NAME?</v>
      </c>
      <c r="N83" s="475" t="e">
        <f ca="1">(SUMIF(J85:M85,"&gt;0.0")/SUMIF(J86:M86,"&gt;0.0"))*100</f>
        <v>#DIV/0!</v>
      </c>
      <c r="O83" s="475"/>
      <c r="P83" s="475" t="e">
        <f ca="1">IF(N83&gt;($Z$3*100),"Yes","No")</f>
        <v>#DIV/0!</v>
      </c>
      <c r="Q83" s="475"/>
      <c r="R83" s="20"/>
      <c r="S83" s="20"/>
      <c r="T83" s="20"/>
      <c r="U83" s="20"/>
      <c r="V83" s="39" t="e">
        <f ca="1">IFERROR(SUM(J83:P84)/COUNTIF(J83:P83,"&gt;0.0"),NA())</f>
        <v>#N/A</v>
      </c>
      <c r="W83" s="20"/>
      <c r="X83" s="20"/>
      <c r="Y83" s="20"/>
      <c r="Z83" s="20"/>
      <c r="AA83" s="20"/>
    </row>
    <row r="84" spans="1:27" ht="18.75" hidden="1" customHeight="1">
      <c r="A84" s="20"/>
      <c r="B84" s="20"/>
      <c r="C84" s="20"/>
      <c r="D84" s="478"/>
      <c r="E84" s="478"/>
      <c r="F84" s="526" t="s">
        <v>66</v>
      </c>
      <c r="G84" s="526"/>
      <c r="H84" s="526"/>
      <c r="I84" s="526"/>
      <c r="J84" s="53" t="e">
        <f ca="1">IF(J86=0,"",IFERROR(J$54*$T$4,""))</f>
        <v>#NAME?</v>
      </c>
      <c r="K84" s="53" t="e">
        <f t="shared" ref="K84:M84" ca="1" si="123">IF(K86=0,"",IFERROR(K$54*$T$4,""))</f>
        <v>#NAME?</v>
      </c>
      <c r="L84" s="53" t="e">
        <f t="shared" ca="1" si="123"/>
        <v>#NAME?</v>
      </c>
      <c r="M84" s="53" t="e">
        <f t="shared" ca="1" si="123"/>
        <v>#NAME?</v>
      </c>
      <c r="N84" s="475"/>
      <c r="O84" s="475"/>
      <c r="P84" s="475"/>
      <c r="Q84" s="475"/>
      <c r="R84" s="20"/>
      <c r="S84" s="20"/>
      <c r="T84" s="20"/>
      <c r="U84" s="20"/>
      <c r="V84" s="39" t="e">
        <f>NA()</f>
        <v>#N/A</v>
      </c>
      <c r="W84" s="20"/>
      <c r="X84" s="20"/>
      <c r="Y84" s="20"/>
      <c r="Z84" s="20"/>
      <c r="AA84" s="20"/>
    </row>
    <row r="85" spans="1:27" ht="18.75" hidden="1" customHeight="1">
      <c r="A85" s="20"/>
      <c r="B85" s="20"/>
      <c r="C85" s="20"/>
      <c r="D85" s="478"/>
      <c r="E85" s="478"/>
      <c r="F85" s="481" t="str">
        <f>D83 &amp; "     Attainment"</f>
        <v>C0.8     Attainment</v>
      </c>
      <c r="G85" s="482"/>
      <c r="H85" s="482"/>
      <c r="I85" s="483"/>
      <c r="J85" s="108" t="e">
        <f ca="1">IF(J86=0,"",(J83)+(J84))</f>
        <v>#NAME?</v>
      </c>
      <c r="K85" s="108" t="e">
        <f ca="1">IF(K86=0,"",(K83)+(K84))</f>
        <v>#NAME?</v>
      </c>
      <c r="L85" s="108" t="e">
        <f t="shared" ref="L85" ca="1" si="124">IF(L86=0,"",(L83)+(L84))</f>
        <v>#NAME?</v>
      </c>
      <c r="M85" s="108" t="e">
        <f t="shared" ref="M85" ca="1" si="125">IF(M86=0,"",(M83)+(M84))</f>
        <v>#NAME?</v>
      </c>
      <c r="N85" s="475"/>
      <c r="O85" s="475"/>
      <c r="P85" s="475"/>
      <c r="Q85" s="475"/>
      <c r="R85" s="20"/>
      <c r="S85" s="20"/>
      <c r="T85" s="20"/>
      <c r="U85" s="20"/>
      <c r="V85" s="39" t="e">
        <f ca="1">IFERROR(SUM(J85:P85)/COUNTIF(J85:P85,"&gt;0.0"),NA())</f>
        <v>#N/A</v>
      </c>
      <c r="W85" s="20"/>
      <c r="X85" s="20"/>
      <c r="Y85" s="20"/>
      <c r="Z85" s="20"/>
      <c r="AA85" s="20"/>
    </row>
    <row r="86" spans="1:27" ht="20.25" hidden="1" customHeight="1">
      <c r="A86" s="20"/>
      <c r="B86" s="20"/>
      <c r="C86" s="20"/>
      <c r="D86" s="199"/>
      <c r="E86" s="199"/>
      <c r="F86" s="184"/>
      <c r="G86" s="185"/>
      <c r="H86" s="185"/>
      <c r="I86" s="186"/>
      <c r="J86" s="108" t="e">
        <f ca="1">IF(ColorIndex('Student Details'!L45)&gt;5,0,IF(ColorIndex('Student Details'!L45)=5,1,IF(ColorIndex('Student Details'!L45)=4,2,3)))</f>
        <v>#NAME?</v>
      </c>
      <c r="K86" s="108" t="e">
        <f ca="1">IF(ColorIndex('Student Details'!M45)&gt;5,0,IF(ColorIndex('Student Details'!M45)=5,1,IF(ColorIndex('Student Details'!M45)=4,2,3)))</f>
        <v>#NAME?</v>
      </c>
      <c r="L86" s="108" t="e">
        <f ca="1">IF(ColorIndex('Student Details'!N45)&gt;5,0,IF(ColorIndex('Student Details'!N45)=5,1,IF(ColorIndex('Student Details'!N45)=4,2,3)))</f>
        <v>#NAME?</v>
      </c>
      <c r="M86" s="108" t="e">
        <f ca="1">IF(ColorIndex('Student Details'!O45)&gt;5,0,IF(ColorIndex('Student Details'!O45)=5,1,IF(ColorIndex('Student Details'!O45)=4,2,3)))</f>
        <v>#NAME?</v>
      </c>
      <c r="N86" s="193"/>
      <c r="O86" s="194"/>
      <c r="P86" s="193"/>
      <c r="Q86" s="194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s="37" customFormat="1" ht="61.5" customHeight="1">
      <c r="A87" s="20"/>
      <c r="B87" s="20"/>
      <c r="C87" s="20"/>
      <c r="D87" s="480" t="s">
        <v>160</v>
      </c>
      <c r="E87" s="480"/>
      <c r="F87" s="480"/>
      <c r="G87" s="480"/>
      <c r="H87" s="480"/>
      <c r="I87" s="480"/>
      <c r="J87" s="224" t="str">
        <f ca="1">IF(IFERROR(SUM(J57,J61,J65,J69,J73,J77,J81,J85)/(COUNTIF(J58,"&gt;0.0")+COUNTIF(J62,"&gt;0.0")+COUNTIF(J66,"&gt;0.0")+COUNTIF(J70,"&gt;0.0")+COUNTIF(J74,"&gt;0.0")+COUNTIF(J78,"&gt;0.0")+COUNTIF(J82,"&gt;0.0")+COUNTIF(J86,"&gt;0.0")),0)=0,"",SUM(J57,J61,J65,J69,J73,J77,J81,J85)/(COUNTIF(J58,"&gt;0.0")+COUNTIF(J62,"&gt;0.0")+COUNTIF(J66,"&gt;0.0")+COUNTIF(J70,"&gt;0.0")+COUNTIF(J74,"&gt;0.0")+COUNTIF(J78,"&gt;0.0")+COUNTIF(J82,"&gt;0.0")+COUNTIF(J86,"&gt;0.0")))</f>
        <v/>
      </c>
      <c r="K87" s="224" t="str">
        <f t="shared" ref="K87:M87" ca="1" si="126">IF(IFERROR(SUM(K57,K61,K65,K69,K73,K77,K81,K85)/(COUNTIF(K58,"&gt;0.0")+COUNTIF(K62,"&gt;0.0")+COUNTIF(K66,"&gt;0.0")+COUNTIF(K70,"&gt;0.0")+COUNTIF(K74,"&gt;0.0")+COUNTIF(K78,"&gt;0.0")+COUNTIF(K82,"&gt;0.0")+COUNTIF(K86,"&gt;0.0")),0)=0,"",SUM(K57,K61,K65,K69,K73,K77,K81,K85)/(COUNTIF(K58,"&gt;0.0")+COUNTIF(K62,"&gt;0.0")+COUNTIF(K66,"&gt;0.0")+COUNTIF(K70,"&gt;0.0")+COUNTIF(K74,"&gt;0.0")+COUNTIF(K78,"&gt;0.0")+COUNTIF(K82,"&gt;0.0")+COUNTIF(K86,"&gt;0.0")))</f>
        <v/>
      </c>
      <c r="L87" s="224" t="str">
        <f t="shared" ca="1" si="126"/>
        <v/>
      </c>
      <c r="M87" s="224" t="str">
        <f t="shared" ca="1" si="126"/>
        <v/>
      </c>
      <c r="N87" s="20"/>
      <c r="O87" s="20"/>
      <c r="P87" s="20"/>
      <c r="Q87" s="20"/>
      <c r="R87" s="20"/>
      <c r="S87" s="20"/>
      <c r="T87" s="20"/>
      <c r="U87" s="20"/>
      <c r="V87" s="20"/>
      <c r="W87" s="42"/>
      <c r="X87" s="42"/>
      <c r="Y87" s="20"/>
      <c r="Z87" s="20"/>
      <c r="AA87" s="20"/>
    </row>
  </sheetData>
  <sheetProtection formatCells="0" formatColumns="0" formatRows="0"/>
  <mergeCells count="139">
    <mergeCell ref="F83:G83"/>
    <mergeCell ref="D53:E54"/>
    <mergeCell ref="F53:I54"/>
    <mergeCell ref="N53:O54"/>
    <mergeCell ref="P53:Q54"/>
    <mergeCell ref="F56:I56"/>
    <mergeCell ref="F60:I60"/>
    <mergeCell ref="F64:I64"/>
    <mergeCell ref="F68:I68"/>
    <mergeCell ref="F72:I72"/>
    <mergeCell ref="F76:I76"/>
    <mergeCell ref="F80:I80"/>
    <mergeCell ref="N63:O65"/>
    <mergeCell ref="P63:Q65"/>
    <mergeCell ref="F65:I65"/>
    <mergeCell ref="F73:I73"/>
    <mergeCell ref="D75:E77"/>
    <mergeCell ref="P67:Q69"/>
    <mergeCell ref="F69:I69"/>
    <mergeCell ref="N75:O77"/>
    <mergeCell ref="P75:Q77"/>
    <mergeCell ref="F77:I77"/>
    <mergeCell ref="D67:E69"/>
    <mergeCell ref="N67:O69"/>
    <mergeCell ref="B1:C1"/>
    <mergeCell ref="D1:K1"/>
    <mergeCell ref="L1:O1"/>
    <mergeCell ref="P1:Q1"/>
    <mergeCell ref="D21:E23"/>
    <mergeCell ref="D59:E61"/>
    <mergeCell ref="N59:O61"/>
    <mergeCell ref="P59:Q61"/>
    <mergeCell ref="F61:I61"/>
    <mergeCell ref="L3:M3"/>
    <mergeCell ref="D63:E65"/>
    <mergeCell ref="R1:T1"/>
    <mergeCell ref="U1:AA1"/>
    <mergeCell ref="F46:I46"/>
    <mergeCell ref="F34:I34"/>
    <mergeCell ref="F55:G55"/>
    <mergeCell ref="B2:C2"/>
    <mergeCell ref="E2:I2"/>
    <mergeCell ref="H4:I4"/>
    <mergeCell ref="D17:E19"/>
    <mergeCell ref="D33:E35"/>
    <mergeCell ref="D45:E47"/>
    <mergeCell ref="D52:Q52"/>
    <mergeCell ref="D55:E57"/>
    <mergeCell ref="N55:O57"/>
    <mergeCell ref="P55:Q57"/>
    <mergeCell ref="F57:I57"/>
    <mergeCell ref="T4:U4"/>
    <mergeCell ref="H5:I5"/>
    <mergeCell ref="H6:I6"/>
    <mergeCell ref="H7:I7"/>
    <mergeCell ref="Z2:AA2"/>
    <mergeCell ref="H3:I3"/>
    <mergeCell ref="J3:K3"/>
    <mergeCell ref="T3:U3"/>
    <mergeCell ref="V3:Y3"/>
    <mergeCell ref="Z3:AA3"/>
    <mergeCell ref="J2:M2"/>
    <mergeCell ref="T2:U2"/>
    <mergeCell ref="V2:Y2"/>
    <mergeCell ref="W17:W19"/>
    <mergeCell ref="X17:X19"/>
    <mergeCell ref="F19:I19"/>
    <mergeCell ref="W21:W23"/>
    <mergeCell ref="X21:X23"/>
    <mergeCell ref="F23:I23"/>
    <mergeCell ref="H8:I8"/>
    <mergeCell ref="H9:I9"/>
    <mergeCell ref="H10:I10"/>
    <mergeCell ref="H11:I11"/>
    <mergeCell ref="D14:X14"/>
    <mergeCell ref="F15:I15"/>
    <mergeCell ref="W15:W16"/>
    <mergeCell ref="X15:X16"/>
    <mergeCell ref="F17:G17"/>
    <mergeCell ref="F18:I18"/>
    <mergeCell ref="F21:G21"/>
    <mergeCell ref="F22:I22"/>
    <mergeCell ref="W33:W35"/>
    <mergeCell ref="X33:X35"/>
    <mergeCell ref="F35:I35"/>
    <mergeCell ref="D25:E27"/>
    <mergeCell ref="W25:W27"/>
    <mergeCell ref="X25:X27"/>
    <mergeCell ref="F27:I27"/>
    <mergeCell ref="D29:E31"/>
    <mergeCell ref="W29:W31"/>
    <mergeCell ref="X29:X31"/>
    <mergeCell ref="F31:I31"/>
    <mergeCell ref="F25:G25"/>
    <mergeCell ref="F29:G29"/>
    <mergeCell ref="F26:I26"/>
    <mergeCell ref="F30:I30"/>
    <mergeCell ref="F33:G33"/>
    <mergeCell ref="W45:W47"/>
    <mergeCell ref="X45:X47"/>
    <mergeCell ref="F47:I47"/>
    <mergeCell ref="D49:I49"/>
    <mergeCell ref="D37:E39"/>
    <mergeCell ref="W37:W39"/>
    <mergeCell ref="X37:X39"/>
    <mergeCell ref="F39:I39"/>
    <mergeCell ref="D41:E43"/>
    <mergeCell ref="W41:W43"/>
    <mergeCell ref="X41:X43"/>
    <mergeCell ref="F43:I43"/>
    <mergeCell ref="F37:G37"/>
    <mergeCell ref="F38:I38"/>
    <mergeCell ref="F41:G41"/>
    <mergeCell ref="F42:I42"/>
    <mergeCell ref="F45:G45"/>
    <mergeCell ref="D87:I87"/>
    <mergeCell ref="O2:S2"/>
    <mergeCell ref="O3:S3"/>
    <mergeCell ref="O4:S4"/>
    <mergeCell ref="F16:I16"/>
    <mergeCell ref="D15:E16"/>
    <mergeCell ref="D79:E81"/>
    <mergeCell ref="N79:O81"/>
    <mergeCell ref="P79:Q81"/>
    <mergeCell ref="F81:I81"/>
    <mergeCell ref="D83:E85"/>
    <mergeCell ref="N83:O85"/>
    <mergeCell ref="P83:Q85"/>
    <mergeCell ref="F85:I85"/>
    <mergeCell ref="D71:E73"/>
    <mergeCell ref="N71:O73"/>
    <mergeCell ref="P71:Q73"/>
    <mergeCell ref="F59:G59"/>
    <mergeCell ref="F63:G63"/>
    <mergeCell ref="F67:G67"/>
    <mergeCell ref="F71:G71"/>
    <mergeCell ref="F75:G75"/>
    <mergeCell ref="F84:I84"/>
    <mergeCell ref="F79:G79"/>
  </mergeCells>
  <pageMargins left="0.2" right="0" top="0.25" bottom="0.2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E114"/>
  <sheetViews>
    <sheetView topLeftCell="A2" zoomScale="85" zoomScaleNormal="85" workbookViewId="0">
      <selection activeCell="T10" sqref="T10"/>
    </sheetView>
  </sheetViews>
  <sheetFormatPr defaultColWidth="9.140625" defaultRowHeight="15"/>
  <cols>
    <col min="1" max="1" width="8.7109375" style="1" customWidth="1"/>
    <col min="2" max="3" width="9.140625" style="1"/>
    <col min="4" max="4" width="15.7109375" style="1" customWidth="1"/>
    <col min="5" max="5" width="9.140625" style="1"/>
    <col min="6" max="6" width="3.7109375" style="1" customWidth="1"/>
    <col min="7" max="7" width="9.140625" style="1"/>
    <col min="8" max="8" width="7.85546875" style="1" customWidth="1"/>
    <col min="9" max="9" width="5.140625" style="1" customWidth="1"/>
    <col min="10" max="10" width="2.42578125" style="1" customWidth="1"/>
    <col min="11" max="11" width="9.28515625" style="1" customWidth="1"/>
    <col min="12" max="13" width="9.140625" style="1"/>
    <col min="14" max="14" width="9.140625" style="1" customWidth="1"/>
    <col min="15" max="25" width="9.140625" style="1"/>
    <col min="26" max="26" width="9.140625" style="1" customWidth="1"/>
    <col min="27" max="28" width="9.140625" style="1" hidden="1" customWidth="1"/>
    <col min="29" max="29" width="37" style="1" hidden="1" customWidth="1"/>
    <col min="30" max="30" width="4.5703125" style="1" hidden="1" customWidth="1"/>
    <col min="31" max="31" width="9.140625" style="1" hidden="1" customWidth="1"/>
    <col min="32" max="32" width="9.140625" style="1" customWidth="1"/>
    <col min="33" max="16384" width="9.140625" style="1"/>
  </cols>
  <sheetData>
    <row r="1" spans="1:31" ht="16.5" hidden="1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</row>
    <row r="3" spans="1:31" ht="62.25" customHeight="1" thickBot="1">
      <c r="B3" s="339" t="s">
        <v>161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1"/>
    </row>
    <row r="4" spans="1:31" ht="16.5" thickTop="1" thickBot="1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36"/>
      <c r="T4" s="124"/>
      <c r="U4" s="124"/>
      <c r="V4" s="124"/>
      <c r="W4" s="342"/>
      <c r="X4" s="343"/>
    </row>
    <row r="5" spans="1:31" ht="22.5" customHeight="1" thickTop="1" thickBot="1">
      <c r="B5" s="19"/>
      <c r="C5" s="15"/>
      <c r="D5" s="15"/>
      <c r="E5" s="345" t="s">
        <v>2</v>
      </c>
      <c r="F5" s="345"/>
      <c r="G5" s="172">
        <f>'Student List'!G7</f>
        <v>6</v>
      </c>
      <c r="H5" s="15"/>
      <c r="I5" s="345" t="s">
        <v>0</v>
      </c>
      <c r="J5" s="345"/>
      <c r="K5" s="345"/>
      <c r="L5" s="346" t="str">
        <f>'Student List'!G4</f>
        <v>EE6T01</v>
      </c>
      <c r="M5" s="347"/>
      <c r="N5" s="176"/>
      <c r="O5" s="176"/>
      <c r="P5" s="176"/>
      <c r="Q5" s="36"/>
      <c r="R5" s="36"/>
      <c r="S5" s="126"/>
      <c r="T5" s="127"/>
      <c r="U5" s="127"/>
      <c r="V5" s="128"/>
      <c r="W5" s="36"/>
      <c r="X5" s="118"/>
      <c r="AA5" s="1">
        <v>1</v>
      </c>
      <c r="AB5" s="1" t="s">
        <v>5</v>
      </c>
      <c r="AC5" s="1" t="s">
        <v>16</v>
      </c>
      <c r="AD5" s="1" t="s">
        <v>27</v>
      </c>
      <c r="AE5" s="117" t="s">
        <v>94</v>
      </c>
    </row>
    <row r="6" spans="1:31" ht="22.5" customHeight="1" thickTop="1" thickBot="1">
      <c r="B6" s="19"/>
      <c r="C6" s="15"/>
      <c r="D6" s="15"/>
      <c r="E6" s="345" t="s">
        <v>3</v>
      </c>
      <c r="F6" s="345"/>
      <c r="G6" s="172" t="str">
        <f>'Student List'!I7</f>
        <v>A</v>
      </c>
      <c r="H6" s="15"/>
      <c r="I6" s="345" t="s">
        <v>1</v>
      </c>
      <c r="J6" s="345"/>
      <c r="K6" s="345"/>
      <c r="L6" s="364" t="str">
        <f>'Student List'!G5</f>
        <v>Power System Analysis &amp; Stability</v>
      </c>
      <c r="M6" s="364"/>
      <c r="N6" s="364"/>
      <c r="O6" s="364"/>
      <c r="P6" s="364"/>
      <c r="Q6" s="36"/>
      <c r="R6" s="36"/>
      <c r="S6" s="129"/>
      <c r="T6" s="130"/>
      <c r="U6" s="130"/>
      <c r="V6" s="131"/>
      <c r="W6" s="36"/>
      <c r="X6" s="118"/>
      <c r="AA6" s="1">
        <v>2</v>
      </c>
      <c r="AB6" s="1" t="s">
        <v>6</v>
      </c>
      <c r="AC6" s="1" t="s">
        <v>17</v>
      </c>
      <c r="AD6" s="1" t="s">
        <v>28</v>
      </c>
      <c r="AE6" s="117">
        <v>10</v>
      </c>
    </row>
    <row r="7" spans="1:31" ht="23.25" customHeight="1" thickTop="1" thickBot="1">
      <c r="B7" s="19"/>
      <c r="C7" s="15"/>
      <c r="D7" s="15"/>
      <c r="E7" s="345" t="s">
        <v>35</v>
      </c>
      <c r="F7" s="345"/>
      <c r="G7" s="172">
        <f>C112-COUNTIF(D13:D112,"")</f>
        <v>61</v>
      </c>
      <c r="H7" s="15"/>
      <c r="I7" s="345" t="s">
        <v>4</v>
      </c>
      <c r="J7" s="345"/>
      <c r="K7" s="345"/>
      <c r="L7" s="356" t="str">
        <f>'Student List'!G8</f>
        <v>ELECTRICAL ENGG</v>
      </c>
      <c r="M7" s="356"/>
      <c r="N7" s="356"/>
      <c r="O7" s="356"/>
      <c r="P7" s="356"/>
      <c r="Q7" s="15"/>
      <c r="R7" s="124"/>
      <c r="S7" s="129"/>
      <c r="T7" s="130"/>
      <c r="U7" s="130"/>
      <c r="V7" s="131"/>
      <c r="W7" s="36"/>
      <c r="X7" s="118"/>
      <c r="AA7" s="1">
        <v>3</v>
      </c>
      <c r="AB7" s="1" t="s">
        <v>7</v>
      </c>
      <c r="AC7" s="1" t="s">
        <v>18</v>
      </c>
      <c r="AD7" s="1" t="s">
        <v>29</v>
      </c>
      <c r="AE7" s="117">
        <v>15</v>
      </c>
    </row>
    <row r="8" spans="1:31" ht="22.5" customHeight="1" thickTop="1" thickBot="1">
      <c r="B8" s="19"/>
      <c r="C8" s="20"/>
      <c r="D8" s="20"/>
      <c r="E8" s="115"/>
      <c r="F8" s="115"/>
      <c r="G8" s="115"/>
      <c r="H8" s="20"/>
      <c r="I8" s="361" t="s">
        <v>93</v>
      </c>
      <c r="J8" s="362"/>
      <c r="K8" s="363"/>
      <c r="L8" s="367">
        <f>'Student List'!G6</f>
        <v>14</v>
      </c>
      <c r="M8" s="368"/>
      <c r="N8" s="365" t="s">
        <v>100</v>
      </c>
      <c r="O8" s="366"/>
      <c r="P8" s="29">
        <f>'Student List'!I6</f>
        <v>4</v>
      </c>
      <c r="Q8" s="54"/>
      <c r="R8" s="42"/>
      <c r="S8" s="129"/>
      <c r="T8" s="130"/>
      <c r="U8" s="130"/>
      <c r="V8" s="131"/>
      <c r="W8" s="36"/>
      <c r="X8" s="118"/>
      <c r="AA8" s="1">
        <v>4</v>
      </c>
      <c r="AB8" s="1" t="s">
        <v>8</v>
      </c>
      <c r="AC8" s="1" t="s">
        <v>74</v>
      </c>
      <c r="AD8" s="1" t="s">
        <v>30</v>
      </c>
      <c r="AE8" s="117">
        <v>20</v>
      </c>
    </row>
    <row r="9" spans="1:31" ht="34.5" customHeight="1" thickTop="1" thickBot="1">
      <c r="B9" s="19"/>
      <c r="C9" s="15"/>
      <c r="D9" s="116"/>
      <c r="E9" s="358" t="s">
        <v>44</v>
      </c>
      <c r="F9" s="359"/>
      <c r="G9" s="360"/>
      <c r="H9" s="357" t="str">
        <f>'Student List'!G9</f>
        <v>S.K. GIRISH</v>
      </c>
      <c r="I9" s="357"/>
      <c r="J9" s="357"/>
      <c r="K9" s="357"/>
      <c r="L9" s="357"/>
      <c r="M9" s="357"/>
      <c r="N9" s="353" t="s">
        <v>75</v>
      </c>
      <c r="O9" s="354"/>
      <c r="P9" s="355"/>
      <c r="Q9" s="231">
        <v>0.4</v>
      </c>
      <c r="R9" s="124"/>
      <c r="S9" s="129"/>
      <c r="T9" s="130"/>
      <c r="U9" s="130"/>
      <c r="V9" s="131"/>
      <c r="W9" s="36"/>
      <c r="X9" s="118"/>
      <c r="AA9" s="1">
        <v>5</v>
      </c>
      <c r="AB9" s="1" t="s">
        <v>9</v>
      </c>
      <c r="AC9" s="1" t="s">
        <v>19</v>
      </c>
      <c r="AD9" s="1" t="s">
        <v>31</v>
      </c>
    </row>
    <row r="10" spans="1:31" ht="16.5" thickTop="1" thickBot="1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25"/>
      <c r="S10" s="132"/>
      <c r="T10" s="133"/>
      <c r="U10" s="133"/>
      <c r="V10" s="134"/>
      <c r="W10" s="36"/>
      <c r="X10" s="118"/>
      <c r="AA10" s="1">
        <v>6</v>
      </c>
      <c r="AB10" s="1" t="s">
        <v>10</v>
      </c>
      <c r="AC10" s="1" t="s">
        <v>20</v>
      </c>
      <c r="AD10" s="1" t="s">
        <v>32</v>
      </c>
    </row>
    <row r="11" spans="1:31" ht="24.75" thickTop="1" thickBot="1">
      <c r="B11" s="19"/>
      <c r="C11" s="348" t="s">
        <v>57</v>
      </c>
      <c r="D11" s="349"/>
      <c r="E11" s="349"/>
      <c r="F11" s="349"/>
      <c r="G11" s="349"/>
      <c r="H11" s="349"/>
      <c r="I11" s="350"/>
      <c r="J11" s="15"/>
      <c r="K11" s="351" t="s">
        <v>56</v>
      </c>
      <c r="L11" s="351"/>
      <c r="M11" s="351"/>
      <c r="N11" s="351"/>
      <c r="O11" s="351"/>
      <c r="P11" s="351"/>
      <c r="Q11" s="351"/>
      <c r="R11" s="351"/>
      <c r="S11" s="352"/>
      <c r="T11" s="352"/>
      <c r="U11" s="352"/>
      <c r="V11" s="352"/>
      <c r="W11" s="344"/>
      <c r="X11" s="343"/>
      <c r="AA11" s="1">
        <v>7</v>
      </c>
      <c r="AB11" s="1" t="s">
        <v>11</v>
      </c>
      <c r="AC11" s="1" t="s">
        <v>77</v>
      </c>
      <c r="AD11" s="1" t="s">
        <v>33</v>
      </c>
    </row>
    <row r="12" spans="1:31" s="162" customFormat="1" ht="37.5" customHeight="1" thickTop="1">
      <c r="B12" s="163"/>
      <c r="C12" s="159" t="s">
        <v>55</v>
      </c>
      <c r="D12" s="160" t="s">
        <v>47</v>
      </c>
      <c r="E12" s="369" t="s">
        <v>54</v>
      </c>
      <c r="F12" s="370"/>
      <c r="G12" s="370"/>
      <c r="H12" s="370"/>
      <c r="I12" s="371"/>
      <c r="J12" s="164"/>
      <c r="K12" s="161" t="s">
        <v>53</v>
      </c>
      <c r="L12" s="375" t="s">
        <v>52</v>
      </c>
      <c r="M12" s="376"/>
      <c r="N12" s="376"/>
      <c r="O12" s="376"/>
      <c r="P12" s="376"/>
      <c r="Q12" s="376"/>
      <c r="R12" s="376"/>
      <c r="S12" s="376"/>
      <c r="T12" s="377"/>
      <c r="U12" s="165" t="s">
        <v>73</v>
      </c>
      <c r="V12" s="175" t="s">
        <v>113</v>
      </c>
      <c r="W12" s="344"/>
      <c r="X12" s="343"/>
      <c r="AA12" s="162">
        <v>8</v>
      </c>
      <c r="AB12" s="162" t="s">
        <v>12</v>
      </c>
      <c r="AC12" s="162" t="s">
        <v>21</v>
      </c>
      <c r="AD12" s="162" t="s">
        <v>34</v>
      </c>
    </row>
    <row r="13" spans="1:31" ht="19.5" thickBot="1">
      <c r="B13" s="19"/>
      <c r="C13" s="18">
        <v>1</v>
      </c>
      <c r="D13" s="30" t="str">
        <f>UPPER(IF(LEN('Student List'!C5)&gt;0,'Student List'!C5,""))</f>
        <v xml:space="preserve"> 14EE029</v>
      </c>
      <c r="E13" s="372" t="str">
        <f>UPPER(IF(LEN('Student List'!D5)&gt;0,'Student List'!D5,""))</f>
        <v xml:space="preserve"> VARUN K R</v>
      </c>
      <c r="F13" s="373"/>
      <c r="G13" s="373"/>
      <c r="H13" s="373"/>
      <c r="I13" s="374"/>
      <c r="J13" s="15"/>
      <c r="K13" s="177" t="str">
        <f>IF(LEN('Student List'!$G$12)=0,"",'Student List'!$F$12)</f>
        <v>C0.1</v>
      </c>
      <c r="L13" s="378" t="str">
        <f>IF(LEN('Student List'!G12)=0,"",'Student List'!G12)</f>
        <v>Representation of power system network and writing its per unit reactance diagram.</v>
      </c>
      <c r="M13" s="379"/>
      <c r="N13" s="379"/>
      <c r="O13" s="379"/>
      <c r="P13" s="379"/>
      <c r="Q13" s="379"/>
      <c r="R13" s="379"/>
      <c r="S13" s="379"/>
      <c r="T13" s="380"/>
      <c r="U13" s="166">
        <v>0.6</v>
      </c>
      <c r="V13" s="166">
        <v>0.7</v>
      </c>
      <c r="W13" s="344"/>
      <c r="X13" s="343"/>
      <c r="AB13" s="1" t="s">
        <v>13</v>
      </c>
      <c r="AC13" s="1" t="s">
        <v>22</v>
      </c>
    </row>
    <row r="14" spans="1:31" ht="20.25" thickTop="1" thickBot="1">
      <c r="B14" s="19"/>
      <c r="C14" s="18">
        <v>2</v>
      </c>
      <c r="D14" s="30" t="str">
        <f>UPPER(IF(LEN('Student List'!C6)&gt;0,'Student List'!C6,""))</f>
        <v xml:space="preserve"> 15EE032</v>
      </c>
      <c r="E14" s="333" t="str">
        <f>UPPER(IF(LEN('Student List'!D6)&gt;0,'Student List'!D6,""))</f>
        <v xml:space="preserve"> PUNEETH R</v>
      </c>
      <c r="F14" s="334"/>
      <c r="G14" s="334"/>
      <c r="H14" s="334"/>
      <c r="I14" s="335"/>
      <c r="J14" s="15"/>
      <c r="K14" s="177" t="str">
        <f>IF(LEN('Student List'!$G$14)=0,"",'Student List'!$F$14)</f>
        <v>C0.2</v>
      </c>
      <c r="L14" s="378" t="str">
        <f>IF(LEN('Student List'!G14)=0,"",'Student List'!G14)</f>
        <v>Analyze the symmetrical faults.</v>
      </c>
      <c r="M14" s="379"/>
      <c r="N14" s="379"/>
      <c r="O14" s="379"/>
      <c r="P14" s="379"/>
      <c r="Q14" s="379"/>
      <c r="R14" s="379"/>
      <c r="S14" s="379"/>
      <c r="T14" s="380"/>
      <c r="U14" s="166">
        <v>0.6</v>
      </c>
      <c r="V14" s="166">
        <v>0.7</v>
      </c>
      <c r="W14" s="344"/>
      <c r="X14" s="343"/>
      <c r="AB14" s="1" t="s">
        <v>14</v>
      </c>
      <c r="AC14" s="1" t="s">
        <v>23</v>
      </c>
    </row>
    <row r="15" spans="1:31" ht="20.25" thickTop="1" thickBot="1">
      <c r="B15" s="19"/>
      <c r="C15" s="18">
        <v>3</v>
      </c>
      <c r="D15" s="30" t="str">
        <f>UPPER(IF(LEN('Student List'!C7)&gt;0,'Student List'!C7,""))</f>
        <v xml:space="preserve"> 16EE004</v>
      </c>
      <c r="E15" s="333" t="str">
        <f>UPPER(IF(LEN('Student List'!D7)&gt;0,'Student List'!D7,""))</f>
        <v xml:space="preserve"> ANIL S BARKI</v>
      </c>
      <c r="F15" s="334"/>
      <c r="G15" s="334"/>
      <c r="H15" s="334"/>
      <c r="I15" s="335"/>
      <c r="J15" s="15"/>
      <c r="K15" s="177" t="str">
        <f>IF(LEN('Student List'!$G$16)=0,"",'Student List'!$F$16)</f>
        <v>C0.3</v>
      </c>
      <c r="L15" s="378" t="str">
        <f>IF(LEN('Student List'!G16)=0,"",'Student List'!G16)</f>
        <v>Use the basics of symmetrical components and writing sequence networks.</v>
      </c>
      <c r="M15" s="379"/>
      <c r="N15" s="379"/>
      <c r="O15" s="379"/>
      <c r="P15" s="379"/>
      <c r="Q15" s="379"/>
      <c r="R15" s="379"/>
      <c r="S15" s="379"/>
      <c r="T15" s="380"/>
      <c r="U15" s="166">
        <v>0.6</v>
      </c>
      <c r="V15" s="166">
        <v>0.7</v>
      </c>
      <c r="W15" s="344"/>
      <c r="X15" s="343"/>
      <c r="AB15" s="1" t="s">
        <v>51</v>
      </c>
      <c r="AC15" s="1" t="s">
        <v>50</v>
      </c>
    </row>
    <row r="16" spans="1:31" ht="20.25" thickTop="1" thickBot="1">
      <c r="B16" s="19"/>
      <c r="C16" s="18">
        <v>4</v>
      </c>
      <c r="D16" s="30" t="str">
        <f>UPPER(IF(LEN('Student List'!C8)&gt;0,'Student List'!C8,""))</f>
        <v xml:space="preserve"> 16EE005</v>
      </c>
      <c r="E16" s="333" t="str">
        <f>UPPER(IF(LEN('Student List'!D8)&gt;0,'Student List'!D8,""))</f>
        <v xml:space="preserve"> ARCHANA B.</v>
      </c>
      <c r="F16" s="334"/>
      <c r="G16" s="334"/>
      <c r="H16" s="334"/>
      <c r="I16" s="335"/>
      <c r="J16" s="15"/>
      <c r="K16" s="177" t="str">
        <f>IF(LEN('Student List'!$G$18)=0,"",'Student List'!$F$18)</f>
        <v>C0.4</v>
      </c>
      <c r="L16" s="378" t="str">
        <f>IF(LEN('Student List'!G18)=0,"",'Student List'!G18)</f>
        <v>Determine short-circuit currents and phase voltages for unbalanced faults.</v>
      </c>
      <c r="M16" s="379"/>
      <c r="N16" s="379"/>
      <c r="O16" s="379"/>
      <c r="P16" s="379"/>
      <c r="Q16" s="379"/>
      <c r="R16" s="379"/>
      <c r="S16" s="379"/>
      <c r="T16" s="380"/>
      <c r="U16" s="166">
        <v>0.6</v>
      </c>
      <c r="V16" s="168">
        <v>0.7</v>
      </c>
      <c r="W16" s="342"/>
      <c r="X16" s="343"/>
      <c r="AB16" s="1" t="s">
        <v>15</v>
      </c>
      <c r="AC16" s="1" t="s">
        <v>24</v>
      </c>
    </row>
    <row r="17" spans="2:29" ht="20.25" thickTop="1" thickBot="1">
      <c r="B17" s="19"/>
      <c r="C17" s="18">
        <v>5</v>
      </c>
      <c r="D17" s="30" t="str">
        <f>UPPER(IF(LEN('Student List'!C9)&gt;0,'Student List'!C9,""))</f>
        <v xml:space="preserve"> 16EE006</v>
      </c>
      <c r="E17" s="333" t="str">
        <f>UPPER(IF(LEN('Student List'!D9)&gt;0,'Student List'!D9,""))</f>
        <v xml:space="preserve"> AYESHA SHAMAIL</v>
      </c>
      <c r="F17" s="334"/>
      <c r="G17" s="334"/>
      <c r="H17" s="334"/>
      <c r="I17" s="335"/>
      <c r="J17" s="15"/>
      <c r="K17" s="177" t="str">
        <f>IF(LEN('Student List'!$G$20)=0,"",'Student List'!$F$20)</f>
        <v>C0.5</v>
      </c>
      <c r="L17" s="378" t="str">
        <f>IF(LEN('Student List'!G20)=0,"",'Student List'!G20)</f>
        <v>Analyze the stability aspects of a power system.</v>
      </c>
      <c r="M17" s="379"/>
      <c r="N17" s="379"/>
      <c r="O17" s="379"/>
      <c r="P17" s="379"/>
      <c r="Q17" s="379"/>
      <c r="R17" s="379"/>
      <c r="S17" s="379"/>
      <c r="T17" s="380"/>
      <c r="U17" s="166">
        <v>0.6</v>
      </c>
      <c r="V17" s="168">
        <v>0.7</v>
      </c>
      <c r="W17" s="342"/>
      <c r="X17" s="343"/>
      <c r="AC17" s="1" t="s">
        <v>25</v>
      </c>
    </row>
    <row r="18" spans="2:29" ht="20.25" thickTop="1" thickBot="1">
      <c r="B18" s="19"/>
      <c r="C18" s="18">
        <v>6</v>
      </c>
      <c r="D18" s="30" t="str">
        <f>UPPER(IF(LEN('Student List'!C10)&gt;0,'Student List'!C10,""))</f>
        <v xml:space="preserve"> 16EE008</v>
      </c>
      <c r="E18" s="333" t="str">
        <f>UPPER(IF(LEN('Student List'!D10)&gt;0,'Student List'!D10,""))</f>
        <v xml:space="preserve"> BHAGYASHREE</v>
      </c>
      <c r="F18" s="334"/>
      <c r="G18" s="334"/>
      <c r="H18" s="334"/>
      <c r="I18" s="335"/>
      <c r="J18" s="15"/>
      <c r="K18" s="177" t="str">
        <f>IF(LEN('Student List'!$G$22)=0,"",'Student List'!$F$22)</f>
        <v/>
      </c>
      <c r="L18" s="378" t="str">
        <f>IF(LEN('Student List'!G22)=0,"",'Student List'!G22)</f>
        <v/>
      </c>
      <c r="M18" s="379"/>
      <c r="N18" s="379"/>
      <c r="O18" s="379"/>
      <c r="P18" s="379"/>
      <c r="Q18" s="379"/>
      <c r="R18" s="379"/>
      <c r="S18" s="379"/>
      <c r="T18" s="380"/>
      <c r="U18" s="167"/>
      <c r="V18" s="169"/>
      <c r="W18" s="342"/>
      <c r="X18" s="343"/>
      <c r="AC18" s="1" t="s">
        <v>26</v>
      </c>
    </row>
    <row r="19" spans="2:29" ht="20.25" thickTop="1" thickBot="1">
      <c r="B19" s="19"/>
      <c r="C19" s="18">
        <v>7</v>
      </c>
      <c r="D19" s="30" t="str">
        <f>UPPER(IF(LEN('Student List'!C11)&gt;0,'Student List'!C11,""))</f>
        <v xml:space="preserve"> 16EE009</v>
      </c>
      <c r="E19" s="333" t="str">
        <f>UPPER(IF(LEN('Student List'!D11)&gt;0,'Student List'!D11,""))</f>
        <v xml:space="preserve"> BHAVANA H M</v>
      </c>
      <c r="F19" s="334"/>
      <c r="G19" s="334"/>
      <c r="H19" s="334"/>
      <c r="I19" s="335"/>
      <c r="J19" s="15"/>
      <c r="K19" s="177" t="str">
        <f>IF(LEN('Student List'!$G$24)=0,"",'Student List'!$F$24)</f>
        <v/>
      </c>
      <c r="L19" s="378" t="str">
        <f>IF(LEN('Student List'!G24)=0,"",'Student List'!G24)</f>
        <v/>
      </c>
      <c r="M19" s="379"/>
      <c r="N19" s="379"/>
      <c r="O19" s="379"/>
      <c r="P19" s="379"/>
      <c r="Q19" s="379"/>
      <c r="R19" s="379"/>
      <c r="S19" s="379"/>
      <c r="T19" s="380"/>
      <c r="U19" s="167"/>
      <c r="V19" s="169"/>
      <c r="W19" s="342"/>
      <c r="X19" s="343"/>
    </row>
    <row r="20" spans="2:29" ht="20.25" thickTop="1" thickBot="1">
      <c r="B20" s="19"/>
      <c r="C20" s="18">
        <v>8</v>
      </c>
      <c r="D20" s="30" t="str">
        <f>UPPER(IF(LEN('Student List'!C12)&gt;0,'Student List'!C12,""))</f>
        <v xml:space="preserve"> 16EE010</v>
      </c>
      <c r="E20" s="333" t="str">
        <f>UPPER(IF(LEN('Student List'!D12)&gt;0,'Student List'!D12,""))</f>
        <v xml:space="preserve"> BHIMANAIKA Y</v>
      </c>
      <c r="F20" s="334"/>
      <c r="G20" s="334"/>
      <c r="H20" s="334"/>
      <c r="I20" s="335"/>
      <c r="J20" s="15"/>
      <c r="K20" s="177" t="str">
        <f>IF(LEN('Student List'!$G$26)=0,"",'Student List'!$F$26)</f>
        <v/>
      </c>
      <c r="L20" s="391" t="str">
        <f>IF(LEN('Student List'!G28)=0,"",'Student List'!G28)</f>
        <v/>
      </c>
      <c r="M20" s="391"/>
      <c r="N20" s="391"/>
      <c r="O20" s="391"/>
      <c r="P20" s="391"/>
      <c r="Q20" s="391"/>
      <c r="R20" s="391"/>
      <c r="S20" s="391"/>
      <c r="T20" s="391"/>
      <c r="U20" s="167"/>
      <c r="V20" s="169"/>
      <c r="W20" s="342"/>
      <c r="X20" s="343"/>
    </row>
    <row r="21" spans="2:29" ht="20.25" thickTop="1" thickBot="1">
      <c r="B21" s="19"/>
      <c r="C21" s="18">
        <v>9</v>
      </c>
      <c r="D21" s="30" t="str">
        <f>UPPER(IF(LEN('Student List'!C13)&gt;0,'Student List'!C13,""))</f>
        <v xml:space="preserve"> 16EE011</v>
      </c>
      <c r="E21" s="333" t="str">
        <f>UPPER(IF(LEN('Student List'!D13)&gt;0,'Student List'!D13,""))</f>
        <v xml:space="preserve"> BINDUSHREE T.A.</v>
      </c>
      <c r="F21" s="334"/>
      <c r="G21" s="334"/>
      <c r="H21" s="334"/>
      <c r="I21" s="33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24"/>
      <c r="W21" s="342"/>
      <c r="X21" s="343"/>
    </row>
    <row r="22" spans="2:29" ht="23.25" customHeight="1" thickTop="1" thickBot="1">
      <c r="B22" s="19"/>
      <c r="C22" s="18">
        <v>10</v>
      </c>
      <c r="D22" s="30" t="str">
        <f>UPPER(IF(LEN('Student List'!C14)&gt;0,'Student List'!C14,""))</f>
        <v xml:space="preserve"> 16EE012</v>
      </c>
      <c r="E22" s="333" t="str">
        <f>UPPER(IF(LEN('Student List'!D14)&gt;0,'Student List'!D14,""))</f>
        <v xml:space="preserve"> BRUNDA S</v>
      </c>
      <c r="F22" s="334"/>
      <c r="G22" s="334"/>
      <c r="H22" s="334"/>
      <c r="I22" s="335"/>
      <c r="J22" s="15"/>
      <c r="K22" s="381" t="s">
        <v>104</v>
      </c>
      <c r="L22" s="382"/>
      <c r="M22" s="382"/>
      <c r="N22" s="382"/>
      <c r="O22" s="382"/>
      <c r="P22" s="382"/>
      <c r="Q22" s="382"/>
      <c r="R22" s="385"/>
      <c r="S22" s="385"/>
      <c r="T22" s="385"/>
      <c r="U22" s="385"/>
      <c r="V22" s="386"/>
      <c r="W22" s="342"/>
      <c r="X22" s="343"/>
    </row>
    <row r="23" spans="2:29" ht="23.25" customHeight="1" thickTop="1" thickBot="1">
      <c r="B23" s="19"/>
      <c r="C23" s="18">
        <v>11</v>
      </c>
      <c r="D23" s="30" t="str">
        <f>UPPER(IF(LEN('Student List'!C15)&gt;0,'Student List'!C15,""))</f>
        <v xml:space="preserve"> 16EE013</v>
      </c>
      <c r="E23" s="333" t="str">
        <f>UPPER(IF(LEN('Student List'!D15)&gt;0,'Student List'!D15,""))</f>
        <v xml:space="preserve"> CHAITHRA S</v>
      </c>
      <c r="F23" s="334"/>
      <c r="G23" s="334"/>
      <c r="H23" s="334"/>
      <c r="I23" s="335"/>
      <c r="J23" s="15"/>
      <c r="K23" s="383" t="s">
        <v>105</v>
      </c>
      <c r="L23" s="384"/>
      <c r="M23" s="384"/>
      <c r="N23" s="384"/>
      <c r="O23" s="384"/>
      <c r="P23" s="384"/>
      <c r="Q23" s="384"/>
      <c r="R23" s="387"/>
      <c r="S23" s="387"/>
      <c r="T23" s="387"/>
      <c r="U23" s="387"/>
      <c r="V23" s="388"/>
      <c r="W23" s="342"/>
      <c r="X23" s="343"/>
    </row>
    <row r="24" spans="2:29" ht="23.25" customHeight="1" thickTop="1" thickBot="1">
      <c r="B24" s="19"/>
      <c r="C24" s="18">
        <v>12</v>
      </c>
      <c r="D24" s="30" t="str">
        <f>UPPER(IF(LEN('Student List'!C16)&gt;0,'Student List'!C16,""))</f>
        <v xml:space="preserve"> 16EE014</v>
      </c>
      <c r="E24" s="333" t="str">
        <f>UPPER(IF(LEN('Student List'!D16)&gt;0,'Student List'!D16,""))</f>
        <v xml:space="preserve"> CHETHAN M</v>
      </c>
      <c r="F24" s="334"/>
      <c r="G24" s="334"/>
      <c r="H24" s="334"/>
      <c r="I24" s="335"/>
      <c r="J24" s="15"/>
      <c r="K24" s="336" t="s">
        <v>106</v>
      </c>
      <c r="L24" s="337"/>
      <c r="M24" s="337"/>
      <c r="N24" s="337"/>
      <c r="O24" s="337"/>
      <c r="P24" s="337"/>
      <c r="Q24" s="337"/>
      <c r="R24" s="389"/>
      <c r="S24" s="389"/>
      <c r="T24" s="389"/>
      <c r="U24" s="389"/>
      <c r="V24" s="390"/>
      <c r="W24" s="342"/>
      <c r="X24" s="343"/>
    </row>
    <row r="25" spans="2:29" ht="20.25" customHeight="1" thickTop="1" thickBot="1">
      <c r="B25" s="19"/>
      <c r="C25" s="18">
        <v>13</v>
      </c>
      <c r="D25" s="30" t="str">
        <f>UPPER(IF(LEN('Student List'!C17)&gt;0,'Student List'!C17,""))</f>
        <v xml:space="preserve"> 16EE016</v>
      </c>
      <c r="E25" s="333" t="str">
        <f>UPPER(IF(LEN('Student List'!D17)&gt;0,'Student List'!D17,""))</f>
        <v xml:space="preserve"> DEEKSHITH M S</v>
      </c>
      <c r="F25" s="334"/>
      <c r="G25" s="334"/>
      <c r="H25" s="334"/>
      <c r="I25" s="335"/>
      <c r="J25" s="15"/>
      <c r="K25" s="392" t="s">
        <v>58</v>
      </c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4"/>
      <c r="W25" s="342"/>
      <c r="X25" s="343"/>
    </row>
    <row r="26" spans="2:29" ht="20.25" thickTop="1" thickBot="1">
      <c r="B26" s="19"/>
      <c r="C26" s="18">
        <v>14</v>
      </c>
      <c r="D26" s="30" t="str">
        <f>UPPER(IF(LEN('Student List'!C18)&gt;0,'Student List'!C18,""))</f>
        <v xml:space="preserve"> 16EE017</v>
      </c>
      <c r="E26" s="333" t="str">
        <f>UPPER(IF(LEN('Student List'!D18)&gt;0,'Student List'!D18,""))</f>
        <v xml:space="preserve"> DEEPTI M HONGUTHI</v>
      </c>
      <c r="F26" s="334"/>
      <c r="G26" s="334"/>
      <c r="H26" s="334"/>
      <c r="I26" s="335"/>
      <c r="J26" s="15"/>
      <c r="K26" s="146"/>
      <c r="L26" s="147" t="s">
        <v>79</v>
      </c>
      <c r="M26" s="147" t="s">
        <v>80</v>
      </c>
      <c r="N26" s="147" t="s">
        <v>81</v>
      </c>
      <c r="O26" s="147" t="s">
        <v>82</v>
      </c>
      <c r="P26" s="147" t="s">
        <v>83</v>
      </c>
      <c r="Q26" s="147" t="s">
        <v>84</v>
      </c>
      <c r="R26" s="147" t="s">
        <v>85</v>
      </c>
      <c r="S26" s="147" t="s">
        <v>86</v>
      </c>
      <c r="T26" s="147" t="s">
        <v>87</v>
      </c>
      <c r="U26" s="147" t="s">
        <v>88</v>
      </c>
      <c r="V26" s="147" t="s">
        <v>89</v>
      </c>
      <c r="W26" s="148" t="s">
        <v>90</v>
      </c>
      <c r="X26" s="397"/>
    </row>
    <row r="27" spans="2:29" ht="20.25" thickTop="1" thickBot="1">
      <c r="B27" s="19"/>
      <c r="C27" s="18">
        <v>15</v>
      </c>
      <c r="D27" s="30" t="str">
        <f>UPPER(IF(LEN('Student List'!C19)&gt;0,'Student List'!C19,""))</f>
        <v xml:space="preserve"> 16EE020</v>
      </c>
      <c r="E27" s="333" t="str">
        <f>UPPER(IF(LEN('Student List'!D19)&gt;0,'Student List'!D19,""))</f>
        <v xml:space="preserve"> HARSHA</v>
      </c>
      <c r="F27" s="334"/>
      <c r="G27" s="334"/>
      <c r="H27" s="334"/>
      <c r="I27" s="335"/>
      <c r="J27" s="149"/>
      <c r="K27" s="177" t="str">
        <f>IF(LEN('Student List'!$G$12)=0,"",'Student List'!$F$12)</f>
        <v>C0.1</v>
      </c>
      <c r="L27" s="282">
        <v>3</v>
      </c>
      <c r="M27" s="221"/>
      <c r="N27" s="220"/>
      <c r="O27" s="221"/>
      <c r="P27" s="282">
        <v>3</v>
      </c>
      <c r="Q27" s="143"/>
      <c r="R27" s="284">
        <v>1</v>
      </c>
      <c r="S27" s="281"/>
      <c r="T27" s="235">
        <v>2</v>
      </c>
      <c r="U27" s="221"/>
      <c r="V27" s="143"/>
      <c r="W27" s="145"/>
      <c r="X27" s="397"/>
    </row>
    <row r="28" spans="2:29" ht="20.25" thickTop="1" thickBot="1">
      <c r="B28" s="19"/>
      <c r="C28" s="18">
        <v>16</v>
      </c>
      <c r="D28" s="30" t="str">
        <f>UPPER(IF(LEN('Student List'!C20)&gt;0,'Student List'!C20,""))</f>
        <v xml:space="preserve"> 16EE021</v>
      </c>
      <c r="E28" s="333" t="str">
        <f>UPPER(IF(LEN('Student List'!D20)&gt;0,'Student List'!D20,""))</f>
        <v xml:space="preserve"> JEEVITHA L R</v>
      </c>
      <c r="F28" s="334"/>
      <c r="G28" s="334"/>
      <c r="H28" s="334"/>
      <c r="I28" s="335"/>
      <c r="J28" s="149"/>
      <c r="K28" s="177" t="str">
        <f>IF(LEN('Student List'!$G$14)=0,"",'Student List'!$F$14)</f>
        <v>C0.2</v>
      </c>
      <c r="L28" s="222"/>
      <c r="M28" s="237">
        <v>3</v>
      </c>
      <c r="N28" s="237">
        <v>3</v>
      </c>
      <c r="O28" s="154"/>
      <c r="P28" s="237">
        <v>3</v>
      </c>
      <c r="Q28" s="154"/>
      <c r="R28" s="137"/>
      <c r="S28" s="285">
        <v>2</v>
      </c>
      <c r="T28" s="222"/>
      <c r="U28" s="137"/>
      <c r="V28" s="154"/>
      <c r="W28" s="223"/>
      <c r="X28" s="397"/>
    </row>
    <row r="29" spans="2:29" ht="20.25" thickTop="1" thickBot="1">
      <c r="B29" s="19"/>
      <c r="C29" s="18">
        <v>17</v>
      </c>
      <c r="D29" s="30" t="str">
        <f>UPPER(IF(LEN('Student List'!C21)&gt;0,'Student List'!C21,""))</f>
        <v xml:space="preserve"> 16EE022</v>
      </c>
      <c r="E29" s="333" t="str">
        <f>UPPER(IF(LEN('Student List'!D21)&gt;0,'Student List'!D21,""))</f>
        <v xml:space="preserve"> JULEKHA B</v>
      </c>
      <c r="F29" s="334"/>
      <c r="G29" s="334"/>
      <c r="H29" s="334"/>
      <c r="I29" s="335"/>
      <c r="J29" s="149"/>
      <c r="K29" s="177" t="str">
        <f>IF(LEN('Student List'!$G$16)=0,"",'Student List'!$F$16)</f>
        <v>C0.3</v>
      </c>
      <c r="L29" s="222"/>
      <c r="M29" s="283">
        <v>1</v>
      </c>
      <c r="N29" s="237">
        <v>3</v>
      </c>
      <c r="O29" s="222"/>
      <c r="P29" s="237">
        <v>3</v>
      </c>
      <c r="Q29" s="137"/>
      <c r="R29" s="138"/>
      <c r="S29" s="139"/>
      <c r="T29" s="222"/>
      <c r="U29" s="137"/>
      <c r="V29" s="138"/>
      <c r="W29" s="140"/>
      <c r="X29" s="397"/>
    </row>
    <row r="30" spans="2:29" ht="20.25" thickTop="1" thickBot="1">
      <c r="B30" s="19"/>
      <c r="C30" s="18">
        <v>18</v>
      </c>
      <c r="D30" s="30" t="str">
        <f>UPPER(IF(LEN('Student List'!C22)&gt;0,'Student List'!C22,""))</f>
        <v>16EE023</v>
      </c>
      <c r="E30" s="333" t="str">
        <f>UPPER(IF(LEN('Student List'!D22)&gt;0,'Student List'!D22,""))</f>
        <v>JYOTHI S N</v>
      </c>
      <c r="F30" s="334"/>
      <c r="G30" s="334"/>
      <c r="H30" s="334"/>
      <c r="I30" s="335"/>
      <c r="J30" s="149"/>
      <c r="K30" s="177" t="str">
        <f>IF(LEN('Student List'!$G$18)=0,"",'Student List'!$F$18)</f>
        <v>C0.4</v>
      </c>
      <c r="L30" s="222"/>
      <c r="M30" s="236">
        <v>2</v>
      </c>
      <c r="N30" s="236">
        <v>2</v>
      </c>
      <c r="O30" s="154"/>
      <c r="P30" s="237">
        <v>3</v>
      </c>
      <c r="Q30" s="138"/>
      <c r="R30" s="137"/>
      <c r="S30" s="142"/>
      <c r="T30" s="222"/>
      <c r="U30" s="138"/>
      <c r="V30" s="137"/>
      <c r="W30" s="140"/>
      <c r="X30" s="397"/>
    </row>
    <row r="31" spans="2:29" ht="20.25" thickTop="1" thickBot="1">
      <c r="B31" s="19"/>
      <c r="C31" s="18">
        <v>19</v>
      </c>
      <c r="D31" s="30" t="str">
        <f>UPPER(IF(LEN('Student List'!C23)&gt;0,'Student List'!C23,""))</f>
        <v xml:space="preserve"> 16EE025</v>
      </c>
      <c r="E31" s="333" t="str">
        <f>UPPER(IF(LEN('Student List'!D23)&gt;0,'Student List'!D23,""))</f>
        <v xml:space="preserve"> KAVANA S</v>
      </c>
      <c r="F31" s="334"/>
      <c r="G31" s="334"/>
      <c r="H31" s="334"/>
      <c r="I31" s="335"/>
      <c r="J31" s="149"/>
      <c r="K31" s="177" t="str">
        <f>IF(LEN('Student List'!$G$20)=0,"",'Student List'!$F$20)</f>
        <v>C0.5</v>
      </c>
      <c r="L31" s="237">
        <v>3</v>
      </c>
      <c r="M31" s="222"/>
      <c r="N31" s="237">
        <v>3</v>
      </c>
      <c r="O31" s="154"/>
      <c r="P31" s="236">
        <v>2</v>
      </c>
      <c r="Q31" s="137"/>
      <c r="R31" s="137"/>
      <c r="S31" s="285">
        <v>2</v>
      </c>
      <c r="T31" s="236">
        <v>2</v>
      </c>
      <c r="U31" s="138"/>
      <c r="V31" s="137"/>
      <c r="W31" s="141"/>
      <c r="X31" s="397"/>
    </row>
    <row r="32" spans="2:29" ht="20.25" thickTop="1" thickBot="1">
      <c r="B32" s="19"/>
      <c r="C32" s="18">
        <v>20</v>
      </c>
      <c r="D32" s="30" t="str">
        <f>UPPER(IF(LEN('Student List'!C24)&gt;0,'Student List'!C24,""))</f>
        <v xml:space="preserve"> 16EE027</v>
      </c>
      <c r="E32" s="333" t="str">
        <f>UPPER(IF(LEN('Student List'!D24)&gt;0,'Student List'!D24,""))</f>
        <v xml:space="preserve"> KUMAR RAGHAVENDRA G.B.</v>
      </c>
      <c r="F32" s="334"/>
      <c r="G32" s="334"/>
      <c r="H32" s="334"/>
      <c r="I32" s="335"/>
      <c r="J32" s="149"/>
      <c r="K32" s="177" t="str">
        <f>IF(LEN('Student List'!$G$22)=0,"",'Student List'!$F$22)</f>
        <v/>
      </c>
      <c r="L32" s="138"/>
      <c r="M32" s="138"/>
      <c r="N32" s="138"/>
      <c r="O32" s="138"/>
      <c r="P32" s="138"/>
      <c r="Q32" s="138"/>
      <c r="R32" s="138"/>
      <c r="S32" s="142"/>
      <c r="T32" s="138"/>
      <c r="U32" s="138"/>
      <c r="V32" s="138"/>
      <c r="W32" s="141"/>
      <c r="X32" s="397"/>
    </row>
    <row r="33" spans="2:24" ht="20.25" thickTop="1" thickBot="1">
      <c r="B33" s="19"/>
      <c r="C33" s="18">
        <v>21</v>
      </c>
      <c r="D33" s="30" t="str">
        <f>UPPER(IF(LEN('Student List'!C25)&gt;0,'Student List'!C25,""))</f>
        <v xml:space="preserve"> 16EE028</v>
      </c>
      <c r="E33" s="333" t="str">
        <f>UPPER(IF(LEN('Student List'!D25)&gt;0,'Student List'!D25,""))</f>
        <v xml:space="preserve"> LAKSHMI R</v>
      </c>
      <c r="F33" s="334"/>
      <c r="G33" s="334"/>
      <c r="H33" s="334"/>
      <c r="I33" s="335"/>
      <c r="J33" s="149"/>
      <c r="K33" s="177" t="str">
        <f>IF(LEN('Student List'!$G$24)=0,"",'Student List'!$F$24)</f>
        <v/>
      </c>
      <c r="L33" s="138"/>
      <c r="M33" s="138"/>
      <c r="N33" s="138"/>
      <c r="O33" s="138"/>
      <c r="P33" s="138"/>
      <c r="Q33" s="138"/>
      <c r="R33" s="138"/>
      <c r="S33" s="142"/>
      <c r="T33" s="138"/>
      <c r="U33" s="138"/>
      <c r="V33" s="138"/>
      <c r="W33" s="141"/>
      <c r="X33" s="397"/>
    </row>
    <row r="34" spans="2:24" ht="20.25" thickTop="1" thickBot="1">
      <c r="B34" s="19"/>
      <c r="C34" s="18">
        <v>22</v>
      </c>
      <c r="D34" s="30" t="str">
        <f>UPPER(IF(LEN('Student List'!C26)&gt;0,'Student List'!C26,""))</f>
        <v xml:space="preserve"> 16EE031</v>
      </c>
      <c r="E34" s="333" t="str">
        <f>UPPER(IF(LEN('Student List'!D26)&gt;0,'Student List'!D26,""))</f>
        <v xml:space="preserve"> MANOJ T</v>
      </c>
      <c r="F34" s="334"/>
      <c r="G34" s="334"/>
      <c r="H34" s="334"/>
      <c r="I34" s="335"/>
      <c r="J34" s="149"/>
      <c r="K34" s="177" t="str">
        <f>IF(LEN('Student List'!$G$26)=0,"",'Student List'!$F$26)</f>
        <v/>
      </c>
      <c r="L34" s="150"/>
      <c r="M34" s="151"/>
      <c r="N34" s="150"/>
      <c r="O34" s="150"/>
      <c r="P34" s="150"/>
      <c r="Q34" s="150"/>
      <c r="R34" s="150"/>
      <c r="S34" s="152"/>
      <c r="T34" s="150"/>
      <c r="U34" s="150"/>
      <c r="V34" s="150"/>
      <c r="W34" s="153"/>
      <c r="X34" s="397"/>
    </row>
    <row r="35" spans="2:24" ht="20.25" customHeight="1" thickTop="1" thickBot="1">
      <c r="B35" s="19"/>
      <c r="C35" s="18">
        <v>23</v>
      </c>
      <c r="D35" s="30" t="str">
        <f>UPPER(IF(LEN('Student List'!C27)&gt;0,'Student List'!C27,""))</f>
        <v xml:space="preserve"> 16EE032</v>
      </c>
      <c r="E35" s="333" t="str">
        <f>UPPER(IF(LEN('Student List'!D27)&gt;0,'Student List'!D27,""))</f>
        <v xml:space="preserve"> MD SARJIL ANSARI</v>
      </c>
      <c r="F35" s="334"/>
      <c r="G35" s="334"/>
      <c r="H35" s="334"/>
      <c r="I35" s="335"/>
      <c r="J35" s="15"/>
      <c r="K35" s="36"/>
      <c r="L35" s="36"/>
      <c r="M35" s="36"/>
      <c r="N35" s="36"/>
      <c r="O35" s="36"/>
      <c r="P35" s="36"/>
      <c r="Q35" s="36"/>
      <c r="R35" s="36"/>
      <c r="S35" s="36"/>
      <c r="T35" s="15"/>
      <c r="U35" s="15"/>
      <c r="V35" s="15"/>
      <c r="W35" s="342"/>
      <c r="X35" s="343"/>
    </row>
    <row r="36" spans="2:24" ht="20.25" customHeight="1" thickTop="1" thickBot="1">
      <c r="B36" s="19"/>
      <c r="C36" s="18">
        <v>24</v>
      </c>
      <c r="D36" s="30" t="str">
        <f>UPPER(IF(LEN('Student List'!C28)&gt;0,'Student List'!C28,""))</f>
        <v xml:space="preserve"> 16EE034</v>
      </c>
      <c r="E36" s="333" t="str">
        <f>UPPER(IF(LEN('Student List'!D28)&gt;0,'Student List'!D28,""))</f>
        <v xml:space="preserve"> MITHILA A R THOTADA</v>
      </c>
      <c r="F36" s="334"/>
      <c r="G36" s="334"/>
      <c r="H36" s="334"/>
      <c r="I36" s="335"/>
      <c r="J36" s="15"/>
      <c r="K36" s="338" t="s">
        <v>99</v>
      </c>
      <c r="L36" s="338"/>
      <c r="M36" s="338"/>
      <c r="N36" s="338"/>
      <c r="O36" s="338"/>
      <c r="P36" s="36"/>
      <c r="Q36" s="36"/>
      <c r="R36" s="36"/>
      <c r="S36" s="36"/>
      <c r="T36" s="36"/>
      <c r="U36" s="36"/>
      <c r="V36" s="36"/>
      <c r="W36" s="343"/>
      <c r="X36" s="343"/>
    </row>
    <row r="37" spans="2:24" ht="20.25" thickTop="1" thickBot="1">
      <c r="B37" s="19"/>
      <c r="C37" s="18">
        <v>25</v>
      </c>
      <c r="D37" s="30" t="str">
        <f>UPPER(IF(LEN('Student List'!C29)&gt;0,'Student List'!C29,""))</f>
        <v xml:space="preserve"> 16EE035</v>
      </c>
      <c r="E37" s="333" t="str">
        <f>UPPER(IF(LEN('Student List'!D29)&gt;0,'Student List'!D29,""))</f>
        <v xml:space="preserve"> MOUNA K.M</v>
      </c>
      <c r="F37" s="334"/>
      <c r="G37" s="334"/>
      <c r="H37" s="334"/>
      <c r="I37" s="335"/>
      <c r="J37" s="15"/>
      <c r="K37" s="178"/>
      <c r="L37" s="179" t="s">
        <v>95</v>
      </c>
      <c r="M37" s="179" t="s">
        <v>96</v>
      </c>
      <c r="N37" s="179" t="s">
        <v>97</v>
      </c>
      <c r="O37" s="179" t="s">
        <v>98</v>
      </c>
      <c r="P37" s="36"/>
      <c r="Q37" s="36"/>
      <c r="R37" s="36"/>
      <c r="S37" s="36"/>
      <c r="T37" s="36"/>
      <c r="U37" s="36"/>
      <c r="V37" s="36"/>
      <c r="W37" s="342"/>
      <c r="X37" s="343"/>
    </row>
    <row r="38" spans="2:24" ht="20.25" thickTop="1" thickBot="1">
      <c r="B38" s="19"/>
      <c r="C38" s="18">
        <v>26</v>
      </c>
      <c r="D38" s="30" t="str">
        <f>UPPER(IF(LEN('Student List'!C30)&gt;0,'Student List'!C30,""))</f>
        <v xml:space="preserve"> 16EE036</v>
      </c>
      <c r="E38" s="333" t="str">
        <f>UPPER(IF(LEN('Student List'!D30)&gt;0,'Student List'!D30,""))</f>
        <v xml:space="preserve"> NARASIMHANAYAKA D</v>
      </c>
      <c r="F38" s="334"/>
      <c r="G38" s="334"/>
      <c r="H38" s="334"/>
      <c r="I38" s="335"/>
      <c r="J38" s="149"/>
      <c r="K38" s="177" t="str">
        <f>IF(LEN('Student List'!$G$12)=0,"",'Student List'!$F$12)</f>
        <v>C0.1</v>
      </c>
      <c r="L38" s="220"/>
      <c r="M38" s="221"/>
      <c r="N38" s="144"/>
      <c r="O38" s="143"/>
      <c r="P38" s="36"/>
      <c r="Q38" s="36"/>
      <c r="R38" s="36"/>
      <c r="S38" s="36"/>
      <c r="T38" s="36"/>
      <c r="U38" s="36"/>
      <c r="V38" s="122"/>
      <c r="W38" s="342"/>
      <c r="X38" s="343"/>
    </row>
    <row r="39" spans="2:24" ht="20.25" thickTop="1" thickBot="1">
      <c r="B39" s="19"/>
      <c r="C39" s="18">
        <v>27</v>
      </c>
      <c r="D39" s="30" t="str">
        <f>UPPER(IF(LEN('Student List'!C31)&gt;0,'Student List'!C31,""))</f>
        <v xml:space="preserve"> 16EE037</v>
      </c>
      <c r="E39" s="333" t="str">
        <f>UPPER(IF(LEN('Student List'!D31)&gt;0,'Student List'!D31,""))</f>
        <v xml:space="preserve"> NIKHIL H M</v>
      </c>
      <c r="F39" s="334"/>
      <c r="G39" s="334"/>
      <c r="H39" s="334"/>
      <c r="I39" s="335"/>
      <c r="J39" s="149"/>
      <c r="K39" s="177" t="str">
        <f>IF(LEN('Student List'!$G$14)=0,"",'Student List'!$F$14)</f>
        <v>C0.2</v>
      </c>
      <c r="L39" s="222"/>
      <c r="M39" s="222"/>
      <c r="N39" s="137"/>
      <c r="O39" s="137"/>
      <c r="P39" s="36"/>
      <c r="Q39" s="36"/>
      <c r="R39" s="36"/>
      <c r="S39" s="36"/>
      <c r="T39" s="36"/>
      <c r="U39" s="36"/>
      <c r="V39" s="36"/>
      <c r="W39" s="342"/>
      <c r="X39" s="343"/>
    </row>
    <row r="40" spans="2:24" ht="20.25" thickTop="1" thickBot="1">
      <c r="B40" s="19"/>
      <c r="C40" s="18">
        <v>28</v>
      </c>
      <c r="D40" s="30" t="str">
        <f>UPPER(IF(LEN('Student List'!C32)&gt;0,'Student List'!C32,""))</f>
        <v xml:space="preserve"> 16EE038</v>
      </c>
      <c r="E40" s="333" t="str">
        <f>UPPER(IF(LEN('Student List'!D32)&gt;0,'Student List'!D32,""))</f>
        <v xml:space="preserve"> NITHIN N GUJJAR</v>
      </c>
      <c r="F40" s="334"/>
      <c r="G40" s="334"/>
      <c r="H40" s="334"/>
      <c r="I40" s="335"/>
      <c r="J40" s="149"/>
      <c r="K40" s="177" t="str">
        <f>IF(LEN('Student List'!$G$16)=0,"",'Student List'!$F$16)</f>
        <v>C0.3</v>
      </c>
      <c r="L40" s="222"/>
      <c r="M40" s="222"/>
      <c r="N40" s="154"/>
      <c r="O40" s="137"/>
      <c r="P40" s="36"/>
      <c r="Q40" s="36"/>
      <c r="R40" s="36"/>
      <c r="S40" s="36"/>
      <c r="T40" s="36"/>
      <c r="U40" s="36"/>
      <c r="V40" s="36"/>
      <c r="W40" s="342"/>
      <c r="X40" s="343"/>
    </row>
    <row r="41" spans="2:24" ht="20.25" thickTop="1" thickBot="1">
      <c r="B41" s="19"/>
      <c r="C41" s="18">
        <v>29</v>
      </c>
      <c r="D41" s="30" t="str">
        <f>UPPER(IF(LEN('Student List'!C33)&gt;0,'Student List'!C33,""))</f>
        <v xml:space="preserve"> 16EE039</v>
      </c>
      <c r="E41" s="333" t="str">
        <f>UPPER(IF(LEN('Student List'!D33)&gt;0,'Student List'!D33,""))</f>
        <v xml:space="preserve"> NITHIN GOWDA B N</v>
      </c>
      <c r="F41" s="334"/>
      <c r="G41" s="334"/>
      <c r="H41" s="334"/>
      <c r="I41" s="335"/>
      <c r="J41" s="149"/>
      <c r="K41" s="177" t="str">
        <f>IF(LEN('Student List'!$G$18)=0,"",'Student List'!$F$18)</f>
        <v>C0.4</v>
      </c>
      <c r="L41" s="222"/>
      <c r="M41" s="222"/>
      <c r="N41" s="137"/>
      <c r="O41" s="137"/>
      <c r="P41" s="36"/>
      <c r="Q41" s="36"/>
      <c r="R41" s="36"/>
      <c r="S41" s="36"/>
      <c r="T41" s="36"/>
      <c r="U41" s="36"/>
      <c r="V41" s="36"/>
      <c r="W41" s="342"/>
      <c r="X41" s="343"/>
    </row>
    <row r="42" spans="2:24" ht="20.25" thickTop="1" thickBot="1">
      <c r="B42" s="19"/>
      <c r="C42" s="18">
        <v>30</v>
      </c>
      <c r="D42" s="30" t="str">
        <f>UPPER(IF(LEN('Student List'!C34)&gt;0,'Student List'!C34,""))</f>
        <v xml:space="preserve"> 16EE042</v>
      </c>
      <c r="E42" s="333" t="str">
        <f>UPPER(IF(LEN('Student List'!D34)&gt;0,'Student List'!D34,""))</f>
        <v xml:space="preserve"> RAKSHITHA T U</v>
      </c>
      <c r="F42" s="334"/>
      <c r="G42" s="334"/>
      <c r="H42" s="334"/>
      <c r="I42" s="335"/>
      <c r="J42" s="149"/>
      <c r="K42" s="177" t="str">
        <f>IF(LEN('Student List'!$G$20)=0,"",'Student List'!$F$20)</f>
        <v>C0.5</v>
      </c>
      <c r="L42" s="154"/>
      <c r="M42" s="222"/>
      <c r="N42" s="154"/>
      <c r="O42" s="138"/>
      <c r="P42" s="36"/>
      <c r="Q42" s="36"/>
      <c r="R42" s="36"/>
      <c r="S42" s="36"/>
      <c r="T42" s="36"/>
      <c r="U42" s="36"/>
      <c r="V42" s="36"/>
      <c r="W42" s="342"/>
      <c r="X42" s="343"/>
    </row>
    <row r="43" spans="2:24" ht="20.25" thickTop="1" thickBot="1">
      <c r="B43" s="19"/>
      <c r="C43" s="18">
        <v>31</v>
      </c>
      <c r="D43" s="30" t="str">
        <f>UPPER(IF(LEN('Student List'!C35)&gt;0,'Student List'!C35,""))</f>
        <v xml:space="preserve"> 16EE043</v>
      </c>
      <c r="E43" s="333" t="str">
        <f>UPPER(IF(LEN('Student List'!D35)&gt;0,'Student List'!D35,""))</f>
        <v xml:space="preserve"> RAMKUMAR K M</v>
      </c>
      <c r="F43" s="334"/>
      <c r="G43" s="334"/>
      <c r="H43" s="334"/>
      <c r="I43" s="335"/>
      <c r="J43" s="149"/>
      <c r="K43" s="177" t="str">
        <f>IF(LEN('Student List'!$G$22)=0,"",'Student List'!$F$22)</f>
        <v/>
      </c>
      <c r="L43" s="138"/>
      <c r="M43" s="138"/>
      <c r="N43" s="138"/>
      <c r="O43" s="138"/>
      <c r="P43" s="36"/>
      <c r="Q43" s="36"/>
      <c r="R43" s="36"/>
      <c r="S43" s="36"/>
      <c r="T43" s="36"/>
      <c r="U43" s="36"/>
      <c r="V43" s="36"/>
      <c r="W43" s="342"/>
      <c r="X43" s="343"/>
    </row>
    <row r="44" spans="2:24" ht="20.25" thickTop="1" thickBot="1">
      <c r="B44" s="19"/>
      <c r="C44" s="18">
        <v>32</v>
      </c>
      <c r="D44" s="30" t="str">
        <f>UPPER(IF(LEN('Student List'!C36)&gt;0,'Student List'!C36,""))</f>
        <v xml:space="preserve"> 16EE045</v>
      </c>
      <c r="E44" s="333" t="str">
        <f>UPPER(IF(LEN('Student List'!D36)&gt;0,'Student List'!D36,""))</f>
        <v xml:space="preserve"> RENUKA K</v>
      </c>
      <c r="F44" s="334"/>
      <c r="G44" s="334"/>
      <c r="H44" s="334"/>
      <c r="I44" s="335"/>
      <c r="J44" s="149"/>
      <c r="K44" s="177" t="str">
        <f>IF(LEN('Student List'!$G$24)=0,"",'Student List'!$F$24)</f>
        <v/>
      </c>
      <c r="L44" s="138"/>
      <c r="M44" s="138"/>
      <c r="N44" s="138"/>
      <c r="O44" s="138"/>
      <c r="P44" s="36"/>
      <c r="Q44" s="36"/>
      <c r="R44" s="36"/>
      <c r="S44" s="36"/>
      <c r="T44" s="36"/>
      <c r="U44" s="36"/>
      <c r="V44" s="36"/>
      <c r="W44" s="342"/>
      <c r="X44" s="343"/>
    </row>
    <row r="45" spans="2:24" ht="20.25" thickTop="1" thickBot="1">
      <c r="B45" s="19"/>
      <c r="C45" s="18">
        <v>33</v>
      </c>
      <c r="D45" s="30" t="str">
        <f>UPPER(IF(LEN('Student List'!C37)&gt;0,'Student List'!C37,""))</f>
        <v xml:space="preserve"> 16EE046</v>
      </c>
      <c r="E45" s="333" t="str">
        <f>UPPER(IF(LEN('Student List'!D37)&gt;0,'Student List'!D37,""))</f>
        <v xml:space="preserve"> RESHMA</v>
      </c>
      <c r="F45" s="334"/>
      <c r="G45" s="334"/>
      <c r="H45" s="334"/>
      <c r="I45" s="335"/>
      <c r="J45" s="149"/>
      <c r="K45" s="177" t="str">
        <f>IF(LEN('Student List'!$G$26)=0,"",'Student List'!$F$26)</f>
        <v/>
      </c>
      <c r="L45" s="150"/>
      <c r="M45" s="151"/>
      <c r="N45" s="150"/>
      <c r="O45" s="150"/>
      <c r="P45" s="36"/>
      <c r="Q45" s="36"/>
      <c r="R45" s="36"/>
      <c r="S45" s="36"/>
      <c r="T45" s="36"/>
      <c r="U45" s="36"/>
      <c r="V45" s="36"/>
      <c r="W45" s="342"/>
      <c r="X45" s="343"/>
    </row>
    <row r="46" spans="2:24" ht="20.25" thickTop="1" thickBot="1">
      <c r="B46" s="19"/>
      <c r="C46" s="18">
        <v>34</v>
      </c>
      <c r="D46" s="30" t="str">
        <f>UPPER(IF(LEN('Student List'!C38)&gt;0,'Student List'!C38,""))</f>
        <v xml:space="preserve"> 16EE047</v>
      </c>
      <c r="E46" s="333" t="str">
        <f>UPPER(IF(LEN('Student List'!D38)&gt;0,'Student List'!D38,""))</f>
        <v xml:space="preserve"> SAHINABEGAUM NADAF</v>
      </c>
      <c r="F46" s="334"/>
      <c r="G46" s="334"/>
      <c r="H46" s="334"/>
      <c r="I46" s="335"/>
      <c r="J46" s="15"/>
      <c r="K46" s="15"/>
      <c r="L46" s="15"/>
      <c r="M46" s="15"/>
      <c r="N46" s="15"/>
      <c r="O46" s="15"/>
      <c r="P46" s="15"/>
      <c r="Q46" s="15"/>
      <c r="R46" s="15"/>
      <c r="S46" s="36"/>
      <c r="T46" s="15"/>
      <c r="U46" s="15"/>
      <c r="V46" s="15"/>
      <c r="W46" s="342"/>
      <c r="X46" s="343"/>
    </row>
    <row r="47" spans="2:24" ht="20.25" thickTop="1" thickBot="1">
      <c r="B47" s="19"/>
      <c r="C47" s="18">
        <v>35</v>
      </c>
      <c r="D47" s="30" t="str">
        <f>UPPER(IF(LEN('Student List'!C39)&gt;0,'Student List'!C39,""))</f>
        <v xml:space="preserve"> 16EE048</v>
      </c>
      <c r="E47" s="333" t="str">
        <f>UPPER(IF(LEN('Student List'!D39)&gt;0,'Student List'!D39,""))</f>
        <v xml:space="preserve"> SANDEEP KUMAR MURMU</v>
      </c>
      <c r="F47" s="334"/>
      <c r="G47" s="334"/>
      <c r="H47" s="334"/>
      <c r="I47" s="335"/>
      <c r="J47" s="15"/>
      <c r="K47" s="15"/>
      <c r="L47" s="15"/>
      <c r="M47" s="15"/>
      <c r="N47" s="15"/>
      <c r="O47" s="15"/>
      <c r="P47" s="15"/>
      <c r="Q47" s="15"/>
      <c r="R47" s="15"/>
      <c r="S47" s="36"/>
      <c r="T47" s="15"/>
      <c r="U47" s="15"/>
      <c r="V47" s="15"/>
      <c r="W47" s="342"/>
      <c r="X47" s="343"/>
    </row>
    <row r="48" spans="2:24" ht="20.25" thickTop="1" thickBot="1">
      <c r="B48" s="19"/>
      <c r="C48" s="18">
        <v>36</v>
      </c>
      <c r="D48" s="30" t="str">
        <f>UPPER(IF(LEN('Student List'!C40)&gt;0,'Student List'!C40,""))</f>
        <v xml:space="preserve"> 16EE049</v>
      </c>
      <c r="E48" s="333" t="str">
        <f>UPPER(IF(LEN('Student List'!D40)&gt;0,'Student List'!D40,""))</f>
        <v xml:space="preserve"> SHARIKA</v>
      </c>
      <c r="F48" s="334"/>
      <c r="G48" s="334"/>
      <c r="H48" s="334"/>
      <c r="I48" s="335"/>
      <c r="J48" s="15"/>
      <c r="K48" s="15"/>
      <c r="L48" s="15"/>
      <c r="M48" s="15"/>
      <c r="N48" s="15"/>
      <c r="O48" s="15"/>
      <c r="P48" s="15"/>
      <c r="Q48" s="15"/>
      <c r="R48" s="15"/>
      <c r="S48" s="36"/>
      <c r="T48" s="15"/>
      <c r="U48" s="15"/>
      <c r="V48" s="15"/>
      <c r="W48" s="342"/>
      <c r="X48" s="343"/>
    </row>
    <row r="49" spans="2:24" ht="20.25" thickTop="1" thickBot="1">
      <c r="B49" s="19"/>
      <c r="C49" s="18">
        <v>37</v>
      </c>
      <c r="D49" s="30" t="str">
        <f>UPPER(IF(LEN('Student List'!C41)&gt;0,'Student List'!C41,""))</f>
        <v xml:space="preserve"> 16EE050</v>
      </c>
      <c r="E49" s="333" t="str">
        <f>UPPER(IF(LEN('Student List'!D41)&gt;0,'Student List'!D41,""))</f>
        <v xml:space="preserve"> SHWETHA R JAGADALE</v>
      </c>
      <c r="F49" s="334"/>
      <c r="G49" s="334"/>
      <c r="H49" s="334"/>
      <c r="I49" s="335"/>
      <c r="J49" s="15"/>
      <c r="K49" s="15"/>
      <c r="L49" s="15"/>
      <c r="M49" s="15"/>
      <c r="N49" s="15"/>
      <c r="O49" s="15"/>
      <c r="P49" s="15"/>
      <c r="Q49" s="15"/>
      <c r="R49" s="15"/>
      <c r="S49" s="36"/>
      <c r="T49" s="15"/>
      <c r="U49" s="15"/>
      <c r="V49" s="15"/>
      <c r="W49" s="342"/>
      <c r="X49" s="343"/>
    </row>
    <row r="50" spans="2:24" ht="20.25" thickTop="1" thickBot="1">
      <c r="B50" s="19"/>
      <c r="C50" s="18">
        <v>38</v>
      </c>
      <c r="D50" s="30" t="str">
        <f>UPPER(IF(LEN('Student List'!C42)&gt;0,'Student List'!C42,""))</f>
        <v xml:space="preserve"> 16EE051</v>
      </c>
      <c r="E50" s="333" t="str">
        <f>UPPER(IF(LEN('Student List'!D42)&gt;0,'Student List'!D42,""))</f>
        <v xml:space="preserve"> SUCHITRA</v>
      </c>
      <c r="F50" s="334"/>
      <c r="G50" s="334"/>
      <c r="H50" s="334"/>
      <c r="I50" s="335"/>
      <c r="J50" s="15"/>
      <c r="K50" s="15"/>
      <c r="L50" s="15"/>
      <c r="M50" s="15"/>
      <c r="N50" s="15"/>
      <c r="O50" s="15"/>
      <c r="P50" s="15"/>
      <c r="Q50" s="15"/>
      <c r="R50" s="15"/>
      <c r="S50" s="36"/>
      <c r="T50" s="15"/>
      <c r="U50" s="15"/>
      <c r="V50" s="15"/>
      <c r="W50" s="342"/>
      <c r="X50" s="343"/>
    </row>
    <row r="51" spans="2:24" ht="20.25" thickTop="1" thickBot="1">
      <c r="B51" s="19"/>
      <c r="C51" s="18">
        <v>39</v>
      </c>
      <c r="D51" s="30" t="str">
        <f>UPPER(IF(LEN('Student List'!C43)&gt;0,'Student List'!C43,""))</f>
        <v xml:space="preserve"> 16EE052</v>
      </c>
      <c r="E51" s="333" t="str">
        <f>UPPER(IF(LEN('Student List'!D43)&gt;0,'Student List'!D43,""))</f>
        <v xml:space="preserve"> SWATHI RAMESH R</v>
      </c>
      <c r="F51" s="334"/>
      <c r="G51" s="334"/>
      <c r="H51" s="334"/>
      <c r="I51" s="335"/>
      <c r="J51" s="15"/>
      <c r="K51" s="15"/>
      <c r="L51" s="15"/>
      <c r="M51" s="15"/>
      <c r="N51" s="15"/>
      <c r="O51" s="15"/>
      <c r="P51" s="15"/>
      <c r="Q51" s="15"/>
      <c r="R51" s="15"/>
      <c r="S51" s="36"/>
      <c r="T51" s="15"/>
      <c r="U51" s="15"/>
      <c r="V51" s="15"/>
      <c r="W51" s="342"/>
      <c r="X51" s="343"/>
    </row>
    <row r="52" spans="2:24" ht="20.25" thickTop="1" thickBot="1">
      <c r="B52" s="19"/>
      <c r="C52" s="18">
        <v>40</v>
      </c>
      <c r="D52" s="30" t="str">
        <f>UPPER(IF(LEN('Student List'!C44)&gt;0,'Student List'!C44,""))</f>
        <v xml:space="preserve"> 16EE053</v>
      </c>
      <c r="E52" s="333" t="str">
        <f>UPPER(IF(LEN('Student List'!D44)&gt;0,'Student List'!D44,""))</f>
        <v xml:space="preserve"> TABREZ ALLAM</v>
      </c>
      <c r="F52" s="334"/>
      <c r="G52" s="334"/>
      <c r="H52" s="334"/>
      <c r="I52" s="335"/>
      <c r="J52" s="15"/>
      <c r="K52" s="15"/>
      <c r="L52" s="15"/>
      <c r="M52" s="15"/>
      <c r="N52" s="15"/>
      <c r="O52" s="15"/>
      <c r="P52" s="15"/>
      <c r="Q52" s="15"/>
      <c r="R52" s="15"/>
      <c r="S52" s="36"/>
      <c r="T52" s="15"/>
      <c r="U52" s="15"/>
      <c r="V52" s="15"/>
      <c r="W52" s="342"/>
      <c r="X52" s="343"/>
    </row>
    <row r="53" spans="2:24" ht="20.25" thickTop="1" thickBot="1">
      <c r="B53" s="19"/>
      <c r="C53" s="18">
        <v>41</v>
      </c>
      <c r="D53" s="30" t="str">
        <f>UPPER(IF(LEN('Student List'!C45)&gt;0,'Student List'!C45,""))</f>
        <v xml:space="preserve"> 16EE054</v>
      </c>
      <c r="E53" s="333" t="str">
        <f>UPPER(IF(LEN('Student List'!D45)&gt;0,'Student List'!D45,""))</f>
        <v xml:space="preserve"> VENKATESH H</v>
      </c>
      <c r="F53" s="334"/>
      <c r="G53" s="334"/>
      <c r="H53" s="334"/>
      <c r="I53" s="335"/>
      <c r="J53" s="15"/>
      <c r="K53" s="15"/>
      <c r="L53" s="15"/>
      <c r="M53" s="15"/>
      <c r="N53" s="15"/>
      <c r="O53" s="15"/>
      <c r="P53" s="15"/>
      <c r="Q53" s="15"/>
      <c r="R53" s="15"/>
      <c r="S53" s="36"/>
      <c r="T53" s="15"/>
      <c r="U53" s="15"/>
      <c r="V53" s="15"/>
      <c r="W53" s="342"/>
      <c r="X53" s="343"/>
    </row>
    <row r="54" spans="2:24" ht="20.25" thickTop="1" thickBot="1">
      <c r="B54" s="19"/>
      <c r="C54" s="18">
        <v>42</v>
      </c>
      <c r="D54" s="30" t="str">
        <f>UPPER(IF(LEN('Student List'!C46)&gt;0,'Student List'!C46,""))</f>
        <v xml:space="preserve"> 16EE055</v>
      </c>
      <c r="E54" s="333" t="str">
        <f>UPPER(IF(LEN('Student List'!D46)&gt;0,'Student List'!D46,""))</f>
        <v xml:space="preserve"> VIDYA I K</v>
      </c>
      <c r="F54" s="334"/>
      <c r="G54" s="334"/>
      <c r="H54" s="334"/>
      <c r="I54" s="335"/>
      <c r="J54" s="15"/>
      <c r="K54" s="15"/>
      <c r="L54" s="15"/>
      <c r="M54" s="15"/>
      <c r="N54" s="15"/>
      <c r="O54" s="15"/>
      <c r="P54" s="15"/>
      <c r="Q54" s="15"/>
      <c r="R54" s="15"/>
      <c r="S54" s="36"/>
      <c r="T54" s="15"/>
      <c r="U54" s="15"/>
      <c r="V54" s="15"/>
      <c r="W54" s="342"/>
      <c r="X54" s="343"/>
    </row>
    <row r="55" spans="2:24" ht="20.25" thickTop="1" thickBot="1">
      <c r="B55" s="19"/>
      <c r="C55" s="18">
        <v>43</v>
      </c>
      <c r="D55" s="30" t="str">
        <f>UPPER(IF(LEN('Student List'!C47)&gt;0,'Student List'!C47,""))</f>
        <v xml:space="preserve"> 16EE056</v>
      </c>
      <c r="E55" s="333" t="str">
        <f>UPPER(IF(LEN('Student List'!D47)&gt;0,'Student List'!D47,""))</f>
        <v xml:space="preserve"> YAMUNA S R</v>
      </c>
      <c r="F55" s="334"/>
      <c r="G55" s="334"/>
      <c r="H55" s="334"/>
      <c r="I55" s="335"/>
      <c r="J55" s="15"/>
      <c r="K55" s="15"/>
      <c r="L55" s="15"/>
      <c r="M55" s="15"/>
      <c r="N55" s="15"/>
      <c r="O55" s="15"/>
      <c r="P55" s="15"/>
      <c r="Q55" s="15"/>
      <c r="R55" s="15"/>
      <c r="S55" s="36"/>
      <c r="T55" s="15"/>
      <c r="U55" s="15"/>
      <c r="V55" s="15"/>
      <c r="W55" s="342"/>
      <c r="X55" s="343"/>
    </row>
    <row r="56" spans="2:24" ht="20.25" thickTop="1" thickBot="1">
      <c r="B56" s="19"/>
      <c r="C56" s="18">
        <v>44</v>
      </c>
      <c r="D56" s="30" t="str">
        <f>UPPER(IF(LEN('Student List'!C48)&gt;0,'Student List'!C48,""))</f>
        <v xml:space="preserve"> 16EE061</v>
      </c>
      <c r="E56" s="333" t="str">
        <f>UPPER(IF(LEN('Student List'!D48)&gt;0,'Student List'!D48,""))</f>
        <v xml:space="preserve"> NAYANA T A</v>
      </c>
      <c r="F56" s="334"/>
      <c r="G56" s="334"/>
      <c r="H56" s="334"/>
      <c r="I56" s="335"/>
      <c r="J56" s="15"/>
      <c r="K56" s="15"/>
      <c r="L56" s="15"/>
      <c r="M56" s="15"/>
      <c r="N56" s="15"/>
      <c r="O56" s="15"/>
      <c r="P56" s="15"/>
      <c r="Q56" s="15"/>
      <c r="R56" s="15"/>
      <c r="S56" s="36"/>
      <c r="T56" s="15"/>
      <c r="U56" s="15"/>
      <c r="V56" s="15"/>
      <c r="W56" s="342"/>
      <c r="X56" s="343"/>
    </row>
    <row r="57" spans="2:24" ht="20.25" thickTop="1" thickBot="1">
      <c r="B57" s="19"/>
      <c r="C57" s="18">
        <v>45</v>
      </c>
      <c r="D57" s="30" t="str">
        <f>UPPER(IF(LEN('Student List'!C49)&gt;0,'Student List'!C49,""))</f>
        <v xml:space="preserve"> 16EE062</v>
      </c>
      <c r="E57" s="333" t="str">
        <f>UPPER(IF(LEN('Student List'!D49)&gt;0,'Student List'!D49,""))</f>
        <v xml:space="preserve"> AISHWARIYA</v>
      </c>
      <c r="F57" s="334"/>
      <c r="G57" s="334"/>
      <c r="H57" s="334"/>
      <c r="I57" s="335"/>
      <c r="J57" s="15"/>
      <c r="K57" s="15"/>
      <c r="L57" s="15"/>
      <c r="M57" s="15"/>
      <c r="N57" s="15"/>
      <c r="O57" s="15"/>
      <c r="P57" s="15"/>
      <c r="Q57" s="15"/>
      <c r="R57" s="15"/>
      <c r="S57" s="36"/>
      <c r="T57" s="15"/>
      <c r="U57" s="15"/>
      <c r="V57" s="15"/>
      <c r="W57" s="342"/>
      <c r="X57" s="343"/>
    </row>
    <row r="58" spans="2:24" ht="20.25" thickTop="1" thickBot="1">
      <c r="B58" s="19"/>
      <c r="C58" s="18">
        <v>46</v>
      </c>
      <c r="D58" s="30" t="str">
        <f>UPPER(IF(LEN('Student List'!C50)&gt;0,'Student List'!C50,""))</f>
        <v xml:space="preserve"> 16EE063</v>
      </c>
      <c r="E58" s="333" t="str">
        <f>UPPER(IF(LEN('Student List'!D50)&gt;0,'Student List'!D50,""))</f>
        <v xml:space="preserve"> T N RANJEET</v>
      </c>
      <c r="F58" s="334"/>
      <c r="G58" s="334"/>
      <c r="H58" s="334"/>
      <c r="I58" s="335"/>
      <c r="J58" s="15"/>
      <c r="K58" s="15"/>
      <c r="L58" s="15"/>
      <c r="M58" s="15"/>
      <c r="N58" s="15"/>
      <c r="O58" s="15"/>
      <c r="P58" s="15"/>
      <c r="Q58" s="15"/>
      <c r="R58" s="15"/>
      <c r="S58" s="36"/>
      <c r="T58" s="15"/>
      <c r="U58" s="15"/>
      <c r="V58" s="15"/>
      <c r="W58" s="342"/>
      <c r="X58" s="343"/>
    </row>
    <row r="59" spans="2:24" ht="20.25" thickTop="1" thickBot="1">
      <c r="B59" s="19"/>
      <c r="C59" s="18">
        <v>47</v>
      </c>
      <c r="D59" s="30" t="str">
        <f>UPPER(IF(LEN('Student List'!C51)&gt;0,'Student List'!C51,""))</f>
        <v xml:space="preserve"> 16EE064</v>
      </c>
      <c r="E59" s="333" t="str">
        <f>UPPER(IF(LEN('Student List'!D51)&gt;0,'Student List'!D51,""))</f>
        <v xml:space="preserve"> VIDYASHRI S</v>
      </c>
      <c r="F59" s="334"/>
      <c r="G59" s="334"/>
      <c r="H59" s="334"/>
      <c r="I59" s="335"/>
      <c r="J59" s="15"/>
      <c r="K59" s="15"/>
      <c r="L59" s="15"/>
      <c r="M59" s="15"/>
      <c r="N59" s="15"/>
      <c r="O59" s="15"/>
      <c r="P59" s="15"/>
      <c r="Q59" s="15"/>
      <c r="R59" s="15"/>
      <c r="S59" s="36"/>
      <c r="T59" s="15"/>
      <c r="U59" s="15"/>
      <c r="V59" s="15"/>
      <c r="W59" s="342"/>
      <c r="X59" s="343"/>
    </row>
    <row r="60" spans="2:24" ht="20.25" thickTop="1" thickBot="1">
      <c r="B60" s="19"/>
      <c r="C60" s="18">
        <v>48</v>
      </c>
      <c r="D60" s="30" t="str">
        <f>UPPER(IF(LEN('Student List'!C52)&gt;0,'Student List'!C52,""))</f>
        <v xml:space="preserve"> 16EE409</v>
      </c>
      <c r="E60" s="333" t="str">
        <f>UPPER(IF(LEN('Student List'!D52)&gt;0,'Student List'!D52,""))</f>
        <v xml:space="preserve"> MANIKANTA HEGDE N</v>
      </c>
      <c r="F60" s="334"/>
      <c r="G60" s="334"/>
      <c r="H60" s="334"/>
      <c r="I60" s="335"/>
      <c r="J60" s="15"/>
      <c r="K60" s="15"/>
      <c r="L60" s="15"/>
      <c r="M60" s="15"/>
      <c r="N60" s="15"/>
      <c r="O60" s="15"/>
      <c r="P60" s="15"/>
      <c r="Q60" s="15"/>
      <c r="R60" s="15"/>
      <c r="S60" s="36"/>
      <c r="T60" s="15"/>
      <c r="U60" s="15"/>
      <c r="V60" s="15"/>
      <c r="W60" s="342"/>
      <c r="X60" s="343"/>
    </row>
    <row r="61" spans="2:24" ht="20.25" thickTop="1" thickBot="1">
      <c r="B61" s="19"/>
      <c r="C61" s="18">
        <v>49</v>
      </c>
      <c r="D61" s="30" t="str">
        <f>UPPER(IF(LEN('Student List'!C53)&gt;0,'Student List'!C53,""))</f>
        <v xml:space="preserve"> 16EE410</v>
      </c>
      <c r="E61" s="333" t="str">
        <f>UPPER(IF(LEN('Student List'!D53)&gt;0,'Student List'!D53,""))</f>
        <v xml:space="preserve"> PADMA PRASAD K.L</v>
      </c>
      <c r="F61" s="334"/>
      <c r="G61" s="334"/>
      <c r="H61" s="334"/>
      <c r="I61" s="335"/>
      <c r="J61" s="15"/>
      <c r="K61" s="15"/>
      <c r="L61" s="15"/>
      <c r="M61" s="15"/>
      <c r="N61" s="15"/>
      <c r="O61" s="15"/>
      <c r="P61" s="15"/>
      <c r="Q61" s="15"/>
      <c r="R61" s="15"/>
      <c r="S61" s="36"/>
      <c r="T61" s="15"/>
      <c r="U61" s="15"/>
      <c r="V61" s="15"/>
      <c r="W61" s="342"/>
      <c r="X61" s="343"/>
    </row>
    <row r="62" spans="2:24" ht="20.25" thickTop="1" thickBot="1">
      <c r="B62" s="19"/>
      <c r="C62" s="18">
        <v>50</v>
      </c>
      <c r="D62" s="30" t="str">
        <f>UPPER(IF(LEN('Student List'!C54)&gt;0,'Student List'!C54,""))</f>
        <v xml:space="preserve"> 17EE400</v>
      </c>
      <c r="E62" s="333" t="str">
        <f>UPPER(IF(LEN('Student List'!D54)&gt;0,'Student List'!D54,""))</f>
        <v xml:space="preserve"> AKASH M</v>
      </c>
      <c r="F62" s="334"/>
      <c r="G62" s="334"/>
      <c r="H62" s="334"/>
      <c r="I62" s="335"/>
      <c r="J62" s="15"/>
      <c r="K62" s="15"/>
      <c r="L62" s="15"/>
      <c r="M62" s="15"/>
      <c r="N62" s="15"/>
      <c r="O62" s="15"/>
      <c r="P62" s="15"/>
      <c r="Q62" s="15"/>
      <c r="R62" s="15"/>
      <c r="S62" s="36"/>
      <c r="T62" s="15"/>
      <c r="U62" s="15"/>
      <c r="V62" s="15"/>
      <c r="W62" s="342"/>
      <c r="X62" s="343"/>
    </row>
    <row r="63" spans="2:24" ht="20.25" thickTop="1" thickBot="1">
      <c r="B63" s="19"/>
      <c r="C63" s="18">
        <v>51</v>
      </c>
      <c r="D63" s="30" t="str">
        <f>UPPER(IF(LEN('Student List'!C55)&gt;0,'Student List'!C55,""))</f>
        <v xml:space="preserve"> 17EE401</v>
      </c>
      <c r="E63" s="333" t="str">
        <f>UPPER(IF(LEN('Student List'!D55)&gt;0,'Student List'!D55,""))</f>
        <v xml:space="preserve"> AMITH MAHAGAVNKAR</v>
      </c>
      <c r="F63" s="334"/>
      <c r="G63" s="334"/>
      <c r="H63" s="334"/>
      <c r="I63" s="335"/>
      <c r="J63" s="15"/>
      <c r="K63" s="15"/>
      <c r="L63" s="15"/>
      <c r="M63" s="15"/>
      <c r="N63" s="15"/>
      <c r="O63" s="15"/>
      <c r="P63" s="15"/>
      <c r="Q63" s="15"/>
      <c r="R63" s="15"/>
      <c r="S63" s="36"/>
      <c r="T63" s="15"/>
      <c r="U63" s="15"/>
      <c r="V63" s="15"/>
      <c r="W63" s="342"/>
      <c r="X63" s="343"/>
    </row>
    <row r="64" spans="2:24" ht="20.25" thickTop="1" thickBot="1">
      <c r="B64" s="19"/>
      <c r="C64" s="18">
        <v>52</v>
      </c>
      <c r="D64" s="30" t="str">
        <f>UPPER(IF(LEN('Student List'!C56)&gt;0,'Student List'!C56,""))</f>
        <v xml:space="preserve"> 17EE402</v>
      </c>
      <c r="E64" s="333" t="str">
        <f>UPPER(IF(LEN('Student List'!D56)&gt;0,'Student List'!D56,""))</f>
        <v xml:space="preserve"> DEVIKARANI M C</v>
      </c>
      <c r="F64" s="334"/>
      <c r="G64" s="334"/>
      <c r="H64" s="334"/>
      <c r="I64" s="335"/>
      <c r="J64" s="15"/>
      <c r="K64" s="15"/>
      <c r="L64" s="15"/>
      <c r="M64" s="15"/>
      <c r="N64" s="15"/>
      <c r="O64" s="15"/>
      <c r="P64" s="15"/>
      <c r="Q64" s="15"/>
      <c r="R64" s="15"/>
      <c r="S64" s="36"/>
      <c r="T64" s="15"/>
      <c r="U64" s="15"/>
      <c r="V64" s="15"/>
      <c r="W64" s="342"/>
      <c r="X64" s="343"/>
    </row>
    <row r="65" spans="2:24" ht="20.25" thickTop="1" thickBot="1">
      <c r="B65" s="19"/>
      <c r="C65" s="18">
        <v>53</v>
      </c>
      <c r="D65" s="30" t="str">
        <f>UPPER(IF(LEN('Student List'!C57)&gt;0,'Student List'!C57,""))</f>
        <v xml:space="preserve"> 17EE403</v>
      </c>
      <c r="E65" s="333" t="str">
        <f>UPPER(IF(LEN('Student List'!D57)&gt;0,'Student List'!D57,""))</f>
        <v xml:space="preserve"> HAMSALEKHA V S</v>
      </c>
      <c r="F65" s="334"/>
      <c r="G65" s="334"/>
      <c r="H65" s="334"/>
      <c r="I65" s="335"/>
      <c r="J65" s="15"/>
      <c r="K65" s="15"/>
      <c r="L65" s="15"/>
      <c r="M65" s="15"/>
      <c r="N65" s="15"/>
      <c r="O65" s="15"/>
      <c r="P65" s="15"/>
      <c r="Q65" s="15"/>
      <c r="R65" s="15"/>
      <c r="S65" s="36"/>
      <c r="T65" s="15"/>
      <c r="U65" s="15"/>
      <c r="V65" s="15"/>
      <c r="W65" s="342"/>
      <c r="X65" s="343"/>
    </row>
    <row r="66" spans="2:24" ht="20.25" thickTop="1" thickBot="1">
      <c r="B66" s="19"/>
      <c r="C66" s="18">
        <v>54</v>
      </c>
      <c r="D66" s="30" t="str">
        <f>UPPER(IF(LEN('Student List'!C58)&gt;0,'Student List'!C58,""))</f>
        <v xml:space="preserve"> 17EE404</v>
      </c>
      <c r="E66" s="333" t="str">
        <f>UPPER(IF(LEN('Student List'!D58)&gt;0,'Student List'!D58,""))</f>
        <v xml:space="preserve"> HARISH S</v>
      </c>
      <c r="F66" s="334"/>
      <c r="G66" s="334"/>
      <c r="H66" s="334"/>
      <c r="I66" s="335"/>
      <c r="J66" s="15"/>
      <c r="K66" s="15"/>
      <c r="L66" s="15"/>
      <c r="M66" s="15"/>
      <c r="N66" s="15"/>
      <c r="O66" s="15"/>
      <c r="P66" s="15"/>
      <c r="Q66" s="15"/>
      <c r="R66" s="15"/>
      <c r="S66" s="36"/>
      <c r="T66" s="15"/>
      <c r="U66" s="15"/>
      <c r="V66" s="15"/>
      <c r="W66" s="342"/>
      <c r="X66" s="343"/>
    </row>
    <row r="67" spans="2:24" ht="20.25" thickTop="1" thickBot="1">
      <c r="B67" s="19"/>
      <c r="C67" s="18">
        <v>55</v>
      </c>
      <c r="D67" s="30" t="str">
        <f>UPPER(IF(LEN('Student List'!C59)&gt;0,'Student List'!C59,""))</f>
        <v xml:space="preserve"> 17EE405</v>
      </c>
      <c r="E67" s="333" t="str">
        <f>UPPER(IF(LEN('Student List'!D59)&gt;0,'Student List'!D59,""))</f>
        <v xml:space="preserve"> J ASIYA</v>
      </c>
      <c r="F67" s="334"/>
      <c r="G67" s="334"/>
      <c r="H67" s="334"/>
      <c r="I67" s="335"/>
      <c r="J67" s="15"/>
      <c r="K67" s="15"/>
      <c r="L67" s="15"/>
      <c r="M67" s="15"/>
      <c r="N67" s="15"/>
      <c r="O67" s="15"/>
      <c r="P67" s="15"/>
      <c r="Q67" s="15"/>
      <c r="R67" s="15"/>
      <c r="S67" s="36"/>
      <c r="T67" s="15"/>
      <c r="U67" s="15"/>
      <c r="V67" s="15"/>
      <c r="W67" s="342"/>
      <c r="X67" s="343"/>
    </row>
    <row r="68" spans="2:24" ht="20.25" thickTop="1" thickBot="1">
      <c r="B68" s="19"/>
      <c r="C68" s="18">
        <v>56</v>
      </c>
      <c r="D68" s="30" t="str">
        <f>UPPER(IF(LEN('Student List'!C60)&gt;0,'Student List'!C60,""))</f>
        <v xml:space="preserve"> 17EE406</v>
      </c>
      <c r="E68" s="333" t="str">
        <f>UPPER(IF(LEN('Student List'!D60)&gt;0,'Student List'!D60,""))</f>
        <v xml:space="preserve"> MANJUNATHA K</v>
      </c>
      <c r="F68" s="334"/>
      <c r="G68" s="334"/>
      <c r="H68" s="334"/>
      <c r="I68" s="335"/>
      <c r="J68" s="15"/>
      <c r="K68" s="15"/>
      <c r="L68" s="15"/>
      <c r="M68" s="15"/>
      <c r="N68" s="15"/>
      <c r="O68" s="15"/>
      <c r="P68" s="15"/>
      <c r="Q68" s="15"/>
      <c r="R68" s="15"/>
      <c r="S68" s="36"/>
      <c r="T68" s="15"/>
      <c r="U68" s="15"/>
      <c r="V68" s="15"/>
      <c r="W68" s="342"/>
      <c r="X68" s="343"/>
    </row>
    <row r="69" spans="2:24" ht="20.25" thickTop="1" thickBot="1">
      <c r="B69" s="19"/>
      <c r="C69" s="18">
        <v>57</v>
      </c>
      <c r="D69" s="30" t="str">
        <f>UPPER(IF(LEN('Student List'!C61)&gt;0,'Student List'!C61,""))</f>
        <v xml:space="preserve"> 17EE408</v>
      </c>
      <c r="E69" s="333" t="str">
        <f>UPPER(IF(LEN('Student List'!D61)&gt;0,'Student List'!D61,""))</f>
        <v xml:space="preserve"> RAVINDRA</v>
      </c>
      <c r="F69" s="334"/>
      <c r="G69" s="334"/>
      <c r="H69" s="334"/>
      <c r="I69" s="335"/>
      <c r="J69" s="15"/>
      <c r="K69" s="15"/>
      <c r="L69" s="15"/>
      <c r="M69" s="15"/>
      <c r="N69" s="15"/>
      <c r="O69" s="15"/>
      <c r="P69" s="15"/>
      <c r="Q69" s="15"/>
      <c r="R69" s="15"/>
      <c r="S69" s="36"/>
      <c r="T69" s="15"/>
      <c r="U69" s="15"/>
      <c r="V69" s="15"/>
      <c r="W69" s="342"/>
      <c r="X69" s="343"/>
    </row>
    <row r="70" spans="2:24" ht="20.25" thickTop="1" thickBot="1">
      <c r="B70" s="19"/>
      <c r="C70" s="18">
        <v>58</v>
      </c>
      <c r="D70" s="30" t="str">
        <f>UPPER(IF(LEN('Student List'!C62)&gt;0,'Student List'!C62,""))</f>
        <v xml:space="preserve"> 17EE409</v>
      </c>
      <c r="E70" s="333" t="str">
        <f>UPPER(IF(LEN('Student List'!D62)&gt;0,'Student List'!D62,""))</f>
        <v xml:space="preserve"> SAMARTHA NAVALE</v>
      </c>
      <c r="F70" s="334"/>
      <c r="G70" s="334"/>
      <c r="H70" s="334"/>
      <c r="I70" s="335"/>
      <c r="J70" s="15"/>
      <c r="K70" s="15"/>
      <c r="L70" s="15"/>
      <c r="M70" s="15"/>
      <c r="N70" s="15"/>
      <c r="O70" s="15"/>
      <c r="P70" s="15"/>
      <c r="Q70" s="15"/>
      <c r="R70" s="15"/>
      <c r="S70" s="36"/>
      <c r="T70" s="15"/>
      <c r="U70" s="15"/>
      <c r="V70" s="15"/>
      <c r="W70" s="342"/>
      <c r="X70" s="343"/>
    </row>
    <row r="71" spans="2:24" ht="20.25" thickTop="1" thickBot="1">
      <c r="B71" s="19"/>
      <c r="C71" s="18">
        <v>59</v>
      </c>
      <c r="D71" s="30" t="str">
        <f>UPPER(IF(LEN('Student List'!C63)&gt;0,'Student List'!C63,""))</f>
        <v xml:space="preserve"> 17EE410</v>
      </c>
      <c r="E71" s="333" t="str">
        <f>UPPER(IF(LEN('Student List'!D63)&gt;0,'Student List'!D63,""))</f>
        <v xml:space="preserve"> SNEHA MATHAPATI</v>
      </c>
      <c r="F71" s="334"/>
      <c r="G71" s="334"/>
      <c r="H71" s="334"/>
      <c r="I71" s="335"/>
      <c r="J71" s="15"/>
      <c r="K71" s="15"/>
      <c r="L71" s="15"/>
      <c r="M71" s="15"/>
      <c r="N71" s="15"/>
      <c r="O71" s="15"/>
      <c r="P71" s="15"/>
      <c r="Q71" s="15"/>
      <c r="R71" s="15"/>
      <c r="S71" s="36"/>
      <c r="T71" s="15"/>
      <c r="U71" s="15"/>
      <c r="V71" s="15"/>
      <c r="W71" s="342"/>
      <c r="X71" s="343"/>
    </row>
    <row r="72" spans="2:24" ht="20.25" thickTop="1" thickBot="1">
      <c r="B72" s="19"/>
      <c r="C72" s="18">
        <v>60</v>
      </c>
      <c r="D72" s="30" t="str">
        <f>UPPER(IF(LEN('Student List'!C64)&gt;0,'Student List'!C64,""))</f>
        <v xml:space="preserve"> 17EE411</v>
      </c>
      <c r="E72" s="333" t="str">
        <f>UPPER(IF(LEN('Student List'!D64)&gt;0,'Student List'!D64,""))</f>
        <v xml:space="preserve"> SUHAS T A</v>
      </c>
      <c r="F72" s="334"/>
      <c r="G72" s="334"/>
      <c r="H72" s="334"/>
      <c r="I72" s="335"/>
      <c r="J72" s="15"/>
      <c r="K72" s="15"/>
      <c r="L72" s="15"/>
      <c r="M72" s="15"/>
      <c r="N72" s="15"/>
      <c r="O72" s="15"/>
      <c r="P72" s="15"/>
      <c r="Q72" s="15"/>
      <c r="R72" s="15"/>
      <c r="S72" s="36"/>
      <c r="T72" s="15"/>
      <c r="U72" s="15"/>
      <c r="V72" s="15"/>
      <c r="W72" s="342"/>
      <c r="X72" s="343"/>
    </row>
    <row r="73" spans="2:24" ht="20.25" thickTop="1" thickBot="1">
      <c r="B73" s="19"/>
      <c r="C73" s="18">
        <v>61</v>
      </c>
      <c r="D73" s="30" t="str">
        <f>UPPER(IF(LEN('Student List'!C65)&gt;0,'Student List'!C65,""))</f>
        <v xml:space="preserve"> 17EE412</v>
      </c>
      <c r="E73" s="333" t="str">
        <f>UPPER(IF(LEN('Student List'!D65)&gt;0,'Student List'!D65,""))</f>
        <v xml:space="preserve"> VARSHA</v>
      </c>
      <c r="F73" s="334"/>
      <c r="G73" s="334"/>
      <c r="H73" s="334"/>
      <c r="I73" s="335"/>
      <c r="J73" s="15"/>
      <c r="K73" s="15"/>
      <c r="L73" s="15"/>
      <c r="M73" s="15"/>
      <c r="N73" s="15"/>
      <c r="O73" s="15"/>
      <c r="P73" s="15"/>
      <c r="Q73" s="15"/>
      <c r="R73" s="15"/>
      <c r="S73" s="36"/>
      <c r="T73" s="15"/>
      <c r="U73" s="15"/>
      <c r="V73" s="15"/>
      <c r="W73" s="342"/>
      <c r="X73" s="343"/>
    </row>
    <row r="74" spans="2:24" ht="20.25" thickTop="1" thickBot="1">
      <c r="B74" s="19"/>
      <c r="C74" s="18">
        <v>62</v>
      </c>
      <c r="D74" s="30" t="str">
        <f>UPPER(IF(LEN('Student List'!C66)&gt;0,'Student List'!C66,""))</f>
        <v/>
      </c>
      <c r="E74" s="333" t="str">
        <f>UPPER(IF(LEN('Student List'!D66)&gt;0,'Student List'!D66,""))</f>
        <v/>
      </c>
      <c r="F74" s="334"/>
      <c r="G74" s="334"/>
      <c r="H74" s="334"/>
      <c r="I74" s="335"/>
      <c r="J74" s="15"/>
      <c r="K74" s="15"/>
      <c r="L74" s="15"/>
      <c r="M74" s="15"/>
      <c r="N74" s="15"/>
      <c r="O74" s="15"/>
      <c r="P74" s="15"/>
      <c r="Q74" s="15"/>
      <c r="R74" s="15"/>
      <c r="S74" s="36"/>
      <c r="T74" s="15"/>
      <c r="U74" s="15"/>
      <c r="V74" s="15"/>
      <c r="W74" s="342"/>
      <c r="X74" s="343"/>
    </row>
    <row r="75" spans="2:24" ht="20.25" thickTop="1" thickBot="1">
      <c r="B75" s="19"/>
      <c r="C75" s="18">
        <v>63</v>
      </c>
      <c r="D75" s="30" t="str">
        <f>UPPER(IF(LEN('Student List'!C67)&gt;0,'Student List'!C67,""))</f>
        <v/>
      </c>
      <c r="E75" s="333" t="str">
        <f>UPPER(IF(LEN('Student List'!D67)&gt;0,'Student List'!D67,""))</f>
        <v/>
      </c>
      <c r="F75" s="334"/>
      <c r="G75" s="334"/>
      <c r="H75" s="334"/>
      <c r="I75" s="335"/>
      <c r="J75" s="15"/>
      <c r="K75" s="15"/>
      <c r="L75" s="15"/>
      <c r="M75" s="15"/>
      <c r="N75" s="15"/>
      <c r="O75" s="15"/>
      <c r="P75" s="15"/>
      <c r="Q75" s="15"/>
      <c r="R75" s="15"/>
      <c r="S75" s="36"/>
      <c r="T75" s="15"/>
      <c r="U75" s="15"/>
      <c r="V75" s="15"/>
      <c r="W75" s="342"/>
      <c r="X75" s="343"/>
    </row>
    <row r="76" spans="2:24" ht="20.25" thickTop="1" thickBot="1">
      <c r="B76" s="19"/>
      <c r="C76" s="18">
        <v>64</v>
      </c>
      <c r="D76" s="30" t="str">
        <f>UPPER(IF(LEN('Student List'!C68)&gt;0,'Student List'!C68,""))</f>
        <v/>
      </c>
      <c r="E76" s="333" t="str">
        <f>UPPER(IF(LEN('Student List'!D68)&gt;0,'Student List'!D68,""))</f>
        <v/>
      </c>
      <c r="F76" s="334"/>
      <c r="G76" s="334"/>
      <c r="H76" s="334"/>
      <c r="I76" s="335"/>
      <c r="J76" s="15"/>
      <c r="K76" s="15"/>
      <c r="L76" s="15"/>
      <c r="M76" s="15"/>
      <c r="N76" s="15"/>
      <c r="O76" s="15"/>
      <c r="P76" s="15"/>
      <c r="Q76" s="15"/>
      <c r="R76" s="15"/>
      <c r="S76" s="36"/>
      <c r="T76" s="15"/>
      <c r="U76" s="15"/>
      <c r="V76" s="15"/>
      <c r="W76" s="342"/>
      <c r="X76" s="343"/>
    </row>
    <row r="77" spans="2:24" ht="20.25" thickTop="1" thickBot="1">
      <c r="B77" s="19"/>
      <c r="C77" s="18">
        <v>65</v>
      </c>
      <c r="D77" s="30" t="str">
        <f>UPPER(IF(LEN('Student List'!C69)&gt;0,'Student List'!C69,""))</f>
        <v/>
      </c>
      <c r="E77" s="333" t="str">
        <f>UPPER(IF(LEN('Student List'!D69)&gt;0,'Student List'!D69,""))</f>
        <v/>
      </c>
      <c r="F77" s="334"/>
      <c r="G77" s="334"/>
      <c r="H77" s="334"/>
      <c r="I77" s="335"/>
      <c r="J77" s="15"/>
      <c r="K77" s="15"/>
      <c r="L77" s="15"/>
      <c r="M77" s="15"/>
      <c r="N77" s="15"/>
      <c r="O77" s="15"/>
      <c r="P77" s="15"/>
      <c r="Q77" s="15"/>
      <c r="R77" s="15"/>
      <c r="S77" s="36"/>
      <c r="T77" s="15"/>
      <c r="U77" s="15"/>
      <c r="V77" s="15"/>
      <c r="W77" s="342"/>
      <c r="X77" s="343"/>
    </row>
    <row r="78" spans="2:24" ht="20.25" thickTop="1" thickBot="1">
      <c r="B78" s="19"/>
      <c r="C78" s="18">
        <v>66</v>
      </c>
      <c r="D78" s="30" t="str">
        <f>UPPER(IF(LEN('Student List'!C70)&gt;0,'Student List'!C70,""))</f>
        <v/>
      </c>
      <c r="E78" s="333" t="str">
        <f>UPPER(IF(LEN('Student List'!D70)&gt;0,'Student List'!D70,""))</f>
        <v/>
      </c>
      <c r="F78" s="334"/>
      <c r="G78" s="334"/>
      <c r="H78" s="334"/>
      <c r="I78" s="335"/>
      <c r="J78" s="15"/>
      <c r="K78" s="15"/>
      <c r="L78" s="15"/>
      <c r="M78" s="15"/>
      <c r="N78" s="15"/>
      <c r="O78" s="15"/>
      <c r="P78" s="15"/>
      <c r="Q78" s="15"/>
      <c r="R78" s="15"/>
      <c r="S78" s="36"/>
      <c r="T78" s="15"/>
      <c r="U78" s="15"/>
      <c r="V78" s="15"/>
      <c r="W78" s="342"/>
      <c r="X78" s="343"/>
    </row>
    <row r="79" spans="2:24" ht="20.25" thickTop="1" thickBot="1">
      <c r="B79" s="19"/>
      <c r="C79" s="18">
        <v>67</v>
      </c>
      <c r="D79" s="30" t="str">
        <f>UPPER(IF(LEN('Student List'!C71)&gt;0,'Student List'!C71,""))</f>
        <v/>
      </c>
      <c r="E79" s="333" t="str">
        <f>UPPER(IF(LEN('Student List'!D71)&gt;0,'Student List'!D71,""))</f>
        <v/>
      </c>
      <c r="F79" s="334"/>
      <c r="G79" s="334"/>
      <c r="H79" s="334"/>
      <c r="I79" s="335"/>
      <c r="J79" s="15"/>
      <c r="K79" s="15"/>
      <c r="L79" s="15"/>
      <c r="M79" s="15"/>
      <c r="N79" s="15"/>
      <c r="O79" s="15"/>
      <c r="P79" s="15"/>
      <c r="Q79" s="15"/>
      <c r="R79" s="15"/>
      <c r="S79" s="36"/>
      <c r="T79" s="15"/>
      <c r="U79" s="15"/>
      <c r="V79" s="15"/>
      <c r="W79" s="342"/>
      <c r="X79" s="343"/>
    </row>
    <row r="80" spans="2:24" ht="20.25" thickTop="1" thickBot="1">
      <c r="B80" s="19"/>
      <c r="C80" s="18">
        <v>68</v>
      </c>
      <c r="D80" s="30" t="str">
        <f>UPPER(IF(LEN('Student List'!C72)&gt;0,'Student List'!C72,""))</f>
        <v/>
      </c>
      <c r="E80" s="333" t="str">
        <f>UPPER(IF(LEN('Student List'!D72)&gt;0,'Student List'!D72,""))</f>
        <v/>
      </c>
      <c r="F80" s="334"/>
      <c r="G80" s="334"/>
      <c r="H80" s="334"/>
      <c r="I80" s="335"/>
      <c r="J80" s="15"/>
      <c r="K80" s="15"/>
      <c r="L80" s="15"/>
      <c r="M80" s="15"/>
      <c r="N80" s="15"/>
      <c r="O80" s="15"/>
      <c r="P80" s="15"/>
      <c r="Q80" s="15"/>
      <c r="R80" s="15"/>
      <c r="S80" s="36"/>
      <c r="T80" s="15"/>
      <c r="U80" s="15"/>
      <c r="V80" s="15"/>
      <c r="W80" s="342"/>
      <c r="X80" s="343"/>
    </row>
    <row r="81" spans="2:24" ht="20.25" thickTop="1" thickBot="1">
      <c r="B81" s="19"/>
      <c r="C81" s="18">
        <v>69</v>
      </c>
      <c r="D81" s="30" t="str">
        <f>UPPER(IF(LEN('Student List'!C73)&gt;0,'Student List'!C73,""))</f>
        <v/>
      </c>
      <c r="E81" s="333" t="str">
        <f>UPPER(IF(LEN('Student List'!D73)&gt;0,'Student List'!D73,""))</f>
        <v/>
      </c>
      <c r="F81" s="334"/>
      <c r="G81" s="334"/>
      <c r="H81" s="334"/>
      <c r="I81" s="335"/>
      <c r="J81" s="15"/>
      <c r="K81" s="15"/>
      <c r="L81" s="15"/>
      <c r="M81" s="15"/>
      <c r="N81" s="15"/>
      <c r="O81" s="15"/>
      <c r="P81" s="15"/>
      <c r="Q81" s="15"/>
      <c r="R81" s="15"/>
      <c r="S81" s="36"/>
      <c r="T81" s="15"/>
      <c r="U81" s="15"/>
      <c r="V81" s="15"/>
      <c r="W81" s="342"/>
      <c r="X81" s="343"/>
    </row>
    <row r="82" spans="2:24" ht="20.25" thickTop="1" thickBot="1">
      <c r="B82" s="19"/>
      <c r="C82" s="18">
        <v>70</v>
      </c>
      <c r="D82" s="30" t="str">
        <f>UPPER(IF(LEN('Student List'!C74)&gt;0,'Student List'!C74,""))</f>
        <v/>
      </c>
      <c r="E82" s="333" t="str">
        <f>UPPER(IF(LEN('Student List'!D74)&gt;0,'Student List'!D74,""))</f>
        <v/>
      </c>
      <c r="F82" s="334"/>
      <c r="G82" s="334"/>
      <c r="H82" s="334"/>
      <c r="I82" s="335"/>
      <c r="J82" s="15"/>
      <c r="K82" s="15"/>
      <c r="L82" s="15"/>
      <c r="M82" s="15"/>
      <c r="N82" s="15"/>
      <c r="O82" s="15"/>
      <c r="P82" s="15"/>
      <c r="Q82" s="15"/>
      <c r="R82" s="15"/>
      <c r="S82" s="36"/>
      <c r="T82" s="15"/>
      <c r="U82" s="15"/>
      <c r="V82" s="15"/>
      <c r="W82" s="342"/>
      <c r="X82" s="343"/>
    </row>
    <row r="83" spans="2:24" ht="20.25" thickTop="1" thickBot="1">
      <c r="B83" s="19"/>
      <c r="C83" s="18">
        <v>71</v>
      </c>
      <c r="D83" s="30" t="str">
        <f>UPPER(IF(LEN('Student List'!C75)&gt;0,'Student List'!C75,""))</f>
        <v/>
      </c>
      <c r="E83" s="333" t="str">
        <f>UPPER(IF(LEN('Student List'!D75)&gt;0,'Student List'!D75,""))</f>
        <v/>
      </c>
      <c r="F83" s="334"/>
      <c r="G83" s="334"/>
      <c r="H83" s="334"/>
      <c r="I83" s="335"/>
      <c r="J83" s="15"/>
      <c r="K83" s="15"/>
      <c r="L83" s="15"/>
      <c r="M83" s="15"/>
      <c r="N83" s="15"/>
      <c r="O83" s="15"/>
      <c r="P83" s="15"/>
      <c r="Q83" s="15"/>
      <c r="R83" s="15"/>
      <c r="S83" s="36"/>
      <c r="T83" s="15"/>
      <c r="U83" s="15"/>
      <c r="V83" s="15"/>
      <c r="W83" s="342"/>
      <c r="X83" s="343"/>
    </row>
    <row r="84" spans="2:24" ht="20.25" thickTop="1" thickBot="1">
      <c r="B84" s="19"/>
      <c r="C84" s="18">
        <v>72</v>
      </c>
      <c r="D84" s="30" t="str">
        <f>UPPER(IF(LEN('Student List'!C76)&gt;0,'Student List'!C76,""))</f>
        <v/>
      </c>
      <c r="E84" s="333" t="str">
        <f>UPPER(IF(LEN('Student List'!D76)&gt;0,'Student List'!D76,""))</f>
        <v/>
      </c>
      <c r="F84" s="334"/>
      <c r="G84" s="334"/>
      <c r="H84" s="334"/>
      <c r="I84" s="335"/>
      <c r="J84" s="15"/>
      <c r="K84" s="15"/>
      <c r="L84" s="15"/>
      <c r="M84" s="15"/>
      <c r="N84" s="15"/>
      <c r="O84" s="15"/>
      <c r="P84" s="15"/>
      <c r="Q84" s="15"/>
      <c r="R84" s="15"/>
      <c r="S84" s="36"/>
      <c r="T84" s="15"/>
      <c r="U84" s="15"/>
      <c r="V84" s="15"/>
      <c r="W84" s="342"/>
      <c r="X84" s="343"/>
    </row>
    <row r="85" spans="2:24" ht="20.25" thickTop="1" thickBot="1">
      <c r="B85" s="19"/>
      <c r="C85" s="18">
        <v>73</v>
      </c>
      <c r="D85" s="30" t="str">
        <f>UPPER(IF(LEN('Student List'!C77)&gt;0,'Student List'!C77,""))</f>
        <v/>
      </c>
      <c r="E85" s="333" t="str">
        <f>UPPER(IF(LEN('Student List'!D77)&gt;0,'Student List'!D77,""))</f>
        <v/>
      </c>
      <c r="F85" s="334"/>
      <c r="G85" s="334"/>
      <c r="H85" s="334"/>
      <c r="I85" s="335"/>
      <c r="J85" s="15"/>
      <c r="K85" s="15"/>
      <c r="L85" s="15"/>
      <c r="M85" s="15"/>
      <c r="N85" s="15"/>
      <c r="O85" s="15"/>
      <c r="P85" s="15"/>
      <c r="Q85" s="15"/>
      <c r="R85" s="15"/>
      <c r="S85" s="36"/>
      <c r="T85" s="15"/>
      <c r="U85" s="15"/>
      <c r="V85" s="15"/>
      <c r="W85" s="342"/>
      <c r="X85" s="343"/>
    </row>
    <row r="86" spans="2:24" ht="20.25" thickTop="1" thickBot="1">
      <c r="B86" s="19"/>
      <c r="C86" s="18">
        <v>74</v>
      </c>
      <c r="D86" s="30" t="str">
        <f>UPPER(IF(LEN('Student List'!C78)&gt;0,'Student List'!C78,""))</f>
        <v/>
      </c>
      <c r="E86" s="333" t="str">
        <f>UPPER(IF(LEN('Student List'!D78)&gt;0,'Student List'!D78,""))</f>
        <v/>
      </c>
      <c r="F86" s="334"/>
      <c r="G86" s="334"/>
      <c r="H86" s="334"/>
      <c r="I86" s="335"/>
      <c r="J86" s="15"/>
      <c r="K86" s="15"/>
      <c r="L86" s="15"/>
      <c r="M86" s="15"/>
      <c r="N86" s="15"/>
      <c r="O86" s="15"/>
      <c r="P86" s="15"/>
      <c r="Q86" s="15"/>
      <c r="R86" s="15"/>
      <c r="S86" s="36"/>
      <c r="T86" s="15"/>
      <c r="U86" s="15"/>
      <c r="V86" s="15"/>
      <c r="W86" s="342"/>
      <c r="X86" s="343"/>
    </row>
    <row r="87" spans="2:24" ht="20.25" thickTop="1" thickBot="1">
      <c r="B87" s="19"/>
      <c r="C87" s="18">
        <v>75</v>
      </c>
      <c r="D87" s="30" t="str">
        <f>UPPER(IF(LEN('Student List'!C79)&gt;0,'Student List'!C79,""))</f>
        <v/>
      </c>
      <c r="E87" s="333" t="str">
        <f>UPPER(IF(LEN('Student List'!D79)&gt;0,'Student List'!D79,""))</f>
        <v/>
      </c>
      <c r="F87" s="334"/>
      <c r="G87" s="334"/>
      <c r="H87" s="334"/>
      <c r="I87" s="335"/>
      <c r="J87" s="15"/>
      <c r="K87" s="15"/>
      <c r="L87" s="15"/>
      <c r="M87" s="15"/>
      <c r="N87" s="15"/>
      <c r="O87" s="15"/>
      <c r="P87" s="15"/>
      <c r="Q87" s="15"/>
      <c r="R87" s="15"/>
      <c r="S87" s="36"/>
      <c r="T87" s="15"/>
      <c r="U87" s="15"/>
      <c r="V87" s="15"/>
      <c r="W87" s="342"/>
      <c r="X87" s="343"/>
    </row>
    <row r="88" spans="2:24" ht="20.25" thickTop="1" thickBot="1">
      <c r="B88" s="19"/>
      <c r="C88" s="18">
        <v>76</v>
      </c>
      <c r="D88" s="30" t="str">
        <f>UPPER(IF(LEN('Student List'!C80)&gt;0,'Student List'!C80,""))</f>
        <v/>
      </c>
      <c r="E88" s="333" t="str">
        <f>UPPER(IF(LEN('Student List'!D80)&gt;0,'Student List'!D80,""))</f>
        <v/>
      </c>
      <c r="F88" s="334"/>
      <c r="G88" s="334"/>
      <c r="H88" s="334"/>
      <c r="I88" s="335"/>
      <c r="J88" s="15"/>
      <c r="K88" s="15"/>
      <c r="L88" s="15"/>
      <c r="M88" s="15"/>
      <c r="N88" s="15"/>
      <c r="O88" s="15"/>
      <c r="P88" s="15"/>
      <c r="Q88" s="15"/>
      <c r="R88" s="15"/>
      <c r="S88" s="36"/>
      <c r="T88" s="15"/>
      <c r="U88" s="15"/>
      <c r="V88" s="15"/>
      <c r="W88" s="342"/>
      <c r="X88" s="343"/>
    </row>
    <row r="89" spans="2:24" ht="20.25" thickTop="1" thickBot="1">
      <c r="B89" s="19"/>
      <c r="C89" s="18">
        <v>77</v>
      </c>
      <c r="D89" s="30" t="str">
        <f>UPPER(IF(LEN('Student List'!C81)&gt;0,'Student List'!C81,""))</f>
        <v/>
      </c>
      <c r="E89" s="333" t="str">
        <f>UPPER(IF(LEN('Student List'!D81)&gt;0,'Student List'!D81,""))</f>
        <v/>
      </c>
      <c r="F89" s="334"/>
      <c r="G89" s="334"/>
      <c r="H89" s="334"/>
      <c r="I89" s="335"/>
      <c r="J89" s="15"/>
      <c r="K89" s="15"/>
      <c r="L89" s="15"/>
      <c r="M89" s="15"/>
      <c r="N89" s="15"/>
      <c r="O89" s="15"/>
      <c r="P89" s="15"/>
      <c r="Q89" s="15"/>
      <c r="R89" s="15"/>
      <c r="S89" s="36"/>
      <c r="T89" s="15"/>
      <c r="U89" s="15"/>
      <c r="V89" s="15"/>
      <c r="W89" s="342"/>
      <c r="X89" s="343"/>
    </row>
    <row r="90" spans="2:24" ht="20.25" thickTop="1" thickBot="1">
      <c r="B90" s="19"/>
      <c r="C90" s="18">
        <v>78</v>
      </c>
      <c r="D90" s="30" t="str">
        <f>UPPER(IF(LEN('Student List'!C82)&gt;0,'Student List'!C82,""))</f>
        <v/>
      </c>
      <c r="E90" s="333" t="str">
        <f>UPPER(IF(LEN('Student List'!D82)&gt;0,'Student List'!D82,""))</f>
        <v/>
      </c>
      <c r="F90" s="334"/>
      <c r="G90" s="334"/>
      <c r="H90" s="334"/>
      <c r="I90" s="335"/>
      <c r="J90" s="15"/>
      <c r="K90" s="15"/>
      <c r="L90" s="15"/>
      <c r="M90" s="15"/>
      <c r="N90" s="15"/>
      <c r="O90" s="15"/>
      <c r="P90" s="15"/>
      <c r="Q90" s="15"/>
      <c r="R90" s="15"/>
      <c r="S90" s="36"/>
      <c r="T90" s="15"/>
      <c r="U90" s="15"/>
      <c r="V90" s="15"/>
      <c r="W90" s="342"/>
      <c r="X90" s="343"/>
    </row>
    <row r="91" spans="2:24" ht="20.25" thickTop="1" thickBot="1">
      <c r="B91" s="19"/>
      <c r="C91" s="18">
        <v>79</v>
      </c>
      <c r="D91" s="30" t="str">
        <f>UPPER(IF(LEN('Student List'!C83)&gt;0,'Student List'!C83,""))</f>
        <v/>
      </c>
      <c r="E91" s="333" t="str">
        <f>UPPER(IF(LEN('Student List'!D83)&gt;0,'Student List'!D83,""))</f>
        <v/>
      </c>
      <c r="F91" s="334"/>
      <c r="G91" s="334"/>
      <c r="H91" s="334"/>
      <c r="I91" s="335"/>
      <c r="J91" s="15"/>
      <c r="K91" s="15"/>
      <c r="L91" s="15"/>
      <c r="M91" s="15"/>
      <c r="N91" s="15"/>
      <c r="O91" s="15"/>
      <c r="P91" s="15"/>
      <c r="Q91" s="15"/>
      <c r="R91" s="15"/>
      <c r="S91" s="36"/>
      <c r="T91" s="15"/>
      <c r="U91" s="15"/>
      <c r="V91" s="15"/>
      <c r="W91" s="342"/>
      <c r="X91" s="343"/>
    </row>
    <row r="92" spans="2:24" ht="20.25" thickTop="1" thickBot="1">
      <c r="B92" s="19"/>
      <c r="C92" s="18">
        <v>80</v>
      </c>
      <c r="D92" s="30" t="str">
        <f>UPPER(IF(LEN('Student List'!C84)&gt;0,'Student List'!C84,""))</f>
        <v/>
      </c>
      <c r="E92" s="333" t="str">
        <f>UPPER(IF(LEN('Student List'!D84)&gt;0,'Student List'!D84,""))</f>
        <v/>
      </c>
      <c r="F92" s="334"/>
      <c r="G92" s="334"/>
      <c r="H92" s="334"/>
      <c r="I92" s="335"/>
      <c r="J92" s="15"/>
      <c r="K92" s="15"/>
      <c r="L92" s="15"/>
      <c r="M92" s="15"/>
      <c r="N92" s="15"/>
      <c r="O92" s="15"/>
      <c r="P92" s="15"/>
      <c r="Q92" s="15"/>
      <c r="R92" s="15"/>
      <c r="S92" s="36"/>
      <c r="T92" s="15"/>
      <c r="U92" s="15"/>
      <c r="V92" s="15"/>
      <c r="W92" s="342"/>
      <c r="X92" s="343"/>
    </row>
    <row r="93" spans="2:24" ht="20.25" thickTop="1" thickBot="1">
      <c r="B93" s="19"/>
      <c r="C93" s="18">
        <v>81</v>
      </c>
      <c r="D93" s="30" t="str">
        <f>UPPER(IF(LEN('Student List'!C85)&gt;0,'Student List'!C85,""))</f>
        <v/>
      </c>
      <c r="E93" s="333" t="str">
        <f>UPPER(IF(LEN('Student List'!D85)&gt;0,'Student List'!D85,""))</f>
        <v/>
      </c>
      <c r="F93" s="334"/>
      <c r="G93" s="334"/>
      <c r="H93" s="334"/>
      <c r="I93" s="335"/>
      <c r="J93" s="15"/>
      <c r="K93" s="15"/>
      <c r="L93" s="15"/>
      <c r="M93" s="15"/>
      <c r="N93" s="15"/>
      <c r="O93" s="15"/>
      <c r="P93" s="15"/>
      <c r="Q93" s="15"/>
      <c r="R93" s="15"/>
      <c r="S93" s="36"/>
      <c r="T93" s="15"/>
      <c r="U93" s="15"/>
      <c r="V93" s="15"/>
      <c r="W93" s="342"/>
      <c r="X93" s="343"/>
    </row>
    <row r="94" spans="2:24" ht="20.25" thickTop="1" thickBot="1">
      <c r="B94" s="19"/>
      <c r="C94" s="18">
        <v>82</v>
      </c>
      <c r="D94" s="30" t="str">
        <f>UPPER(IF(LEN('Student List'!C86)&gt;0,'Student List'!C86,""))</f>
        <v/>
      </c>
      <c r="E94" s="333" t="str">
        <f>UPPER(IF(LEN('Student List'!D86)&gt;0,'Student List'!D86,""))</f>
        <v/>
      </c>
      <c r="F94" s="334"/>
      <c r="G94" s="334"/>
      <c r="H94" s="334"/>
      <c r="I94" s="335"/>
      <c r="J94" s="15"/>
      <c r="K94" s="15"/>
      <c r="L94" s="15"/>
      <c r="M94" s="15"/>
      <c r="N94" s="15"/>
      <c r="O94" s="15"/>
      <c r="P94" s="15"/>
      <c r="Q94" s="15"/>
      <c r="R94" s="15"/>
      <c r="S94" s="36"/>
      <c r="T94" s="15"/>
      <c r="U94" s="15"/>
      <c r="V94" s="15"/>
      <c r="W94" s="342"/>
      <c r="X94" s="343"/>
    </row>
    <row r="95" spans="2:24" ht="20.25" thickTop="1" thickBot="1">
      <c r="B95" s="19"/>
      <c r="C95" s="18">
        <v>83</v>
      </c>
      <c r="D95" s="30" t="str">
        <f>UPPER(IF(LEN('Student List'!C87)&gt;0,'Student List'!C87,""))</f>
        <v/>
      </c>
      <c r="E95" s="333" t="str">
        <f>UPPER(IF(LEN('Student List'!D87)&gt;0,'Student List'!D87,""))</f>
        <v/>
      </c>
      <c r="F95" s="334"/>
      <c r="G95" s="334"/>
      <c r="H95" s="334"/>
      <c r="I95" s="335"/>
      <c r="J95" s="15"/>
      <c r="K95" s="15"/>
      <c r="L95" s="15"/>
      <c r="M95" s="15"/>
      <c r="N95" s="15"/>
      <c r="O95" s="15"/>
      <c r="P95" s="15"/>
      <c r="Q95" s="15"/>
      <c r="R95" s="15"/>
      <c r="S95" s="36"/>
      <c r="T95" s="15"/>
      <c r="U95" s="15"/>
      <c r="V95" s="15"/>
      <c r="W95" s="342"/>
      <c r="X95" s="343"/>
    </row>
    <row r="96" spans="2:24" ht="20.25" thickTop="1" thickBot="1">
      <c r="B96" s="19"/>
      <c r="C96" s="18">
        <v>84</v>
      </c>
      <c r="D96" s="30" t="str">
        <f>UPPER(IF(LEN('Student List'!C88)&gt;0,'Student List'!C88,""))</f>
        <v/>
      </c>
      <c r="E96" s="333" t="str">
        <f>UPPER(IF(LEN('Student List'!D88)&gt;0,'Student List'!D88,""))</f>
        <v/>
      </c>
      <c r="F96" s="334"/>
      <c r="G96" s="334"/>
      <c r="H96" s="334"/>
      <c r="I96" s="335"/>
      <c r="J96" s="15"/>
      <c r="K96" s="15"/>
      <c r="L96" s="15"/>
      <c r="M96" s="15"/>
      <c r="N96" s="15"/>
      <c r="O96" s="15"/>
      <c r="P96" s="15"/>
      <c r="Q96" s="15"/>
      <c r="R96" s="15"/>
      <c r="S96" s="36"/>
      <c r="T96" s="15"/>
      <c r="U96" s="15"/>
      <c r="V96" s="15"/>
      <c r="W96" s="342"/>
      <c r="X96" s="343"/>
    </row>
    <row r="97" spans="2:24" ht="20.25" thickTop="1" thickBot="1">
      <c r="B97" s="19"/>
      <c r="C97" s="18">
        <v>85</v>
      </c>
      <c r="D97" s="30" t="str">
        <f>UPPER(IF(LEN('Student List'!C89)&gt;0,'Student List'!C89,""))</f>
        <v/>
      </c>
      <c r="E97" s="333" t="str">
        <f>UPPER(IF(LEN('Student List'!D89)&gt;0,'Student List'!D89,""))</f>
        <v/>
      </c>
      <c r="F97" s="334"/>
      <c r="G97" s="334"/>
      <c r="H97" s="334"/>
      <c r="I97" s="335"/>
      <c r="J97" s="15"/>
      <c r="K97" s="15"/>
      <c r="L97" s="15"/>
      <c r="M97" s="15"/>
      <c r="N97" s="15"/>
      <c r="O97" s="15"/>
      <c r="P97" s="15"/>
      <c r="Q97" s="15"/>
      <c r="R97" s="15"/>
      <c r="S97" s="36"/>
      <c r="T97" s="15"/>
      <c r="U97" s="15"/>
      <c r="V97" s="15"/>
      <c r="W97" s="342"/>
      <c r="X97" s="343"/>
    </row>
    <row r="98" spans="2:24" ht="20.25" thickTop="1" thickBot="1">
      <c r="B98" s="19"/>
      <c r="C98" s="18">
        <v>86</v>
      </c>
      <c r="D98" s="30" t="str">
        <f>UPPER(IF(LEN('Student List'!C90)&gt;0,'Student List'!C90,""))</f>
        <v/>
      </c>
      <c r="E98" s="333" t="str">
        <f>UPPER(IF(LEN('Student List'!D90)&gt;0,'Student List'!D90,""))</f>
        <v/>
      </c>
      <c r="F98" s="334"/>
      <c r="G98" s="334"/>
      <c r="H98" s="334"/>
      <c r="I98" s="335"/>
      <c r="J98" s="15"/>
      <c r="K98" s="15"/>
      <c r="L98" s="15"/>
      <c r="M98" s="15"/>
      <c r="N98" s="15"/>
      <c r="O98" s="15"/>
      <c r="P98" s="15"/>
      <c r="Q98" s="15"/>
      <c r="R98" s="15"/>
      <c r="S98" s="36"/>
      <c r="T98" s="15"/>
      <c r="U98" s="15"/>
      <c r="V98" s="15"/>
      <c r="W98" s="342"/>
      <c r="X98" s="343"/>
    </row>
    <row r="99" spans="2:24" ht="20.25" thickTop="1" thickBot="1">
      <c r="B99" s="19"/>
      <c r="C99" s="18">
        <v>87</v>
      </c>
      <c r="D99" s="30" t="str">
        <f>UPPER(IF(LEN('Student List'!C91)&gt;0,'Student List'!C91,""))</f>
        <v/>
      </c>
      <c r="E99" s="333" t="str">
        <f>UPPER(IF(LEN('Student List'!D91)&gt;0,'Student List'!D91,""))</f>
        <v/>
      </c>
      <c r="F99" s="334"/>
      <c r="G99" s="334"/>
      <c r="H99" s="334"/>
      <c r="I99" s="335"/>
      <c r="J99" s="15"/>
      <c r="K99" s="15"/>
      <c r="L99" s="15"/>
      <c r="M99" s="15"/>
      <c r="N99" s="15"/>
      <c r="O99" s="15"/>
      <c r="P99" s="15"/>
      <c r="Q99" s="15"/>
      <c r="R99" s="15"/>
      <c r="S99" s="36"/>
      <c r="T99" s="15"/>
      <c r="U99" s="15"/>
      <c r="V99" s="15"/>
      <c r="W99" s="342"/>
      <c r="X99" s="343"/>
    </row>
    <row r="100" spans="2:24" ht="20.25" thickTop="1" thickBot="1">
      <c r="B100" s="19"/>
      <c r="C100" s="18">
        <v>88</v>
      </c>
      <c r="D100" s="30" t="str">
        <f>UPPER(IF(LEN('Student List'!C92)&gt;0,'Student List'!C92,""))</f>
        <v/>
      </c>
      <c r="E100" s="333" t="str">
        <f>UPPER(IF(LEN('Student List'!D92)&gt;0,'Student List'!D92,""))</f>
        <v/>
      </c>
      <c r="F100" s="334"/>
      <c r="G100" s="334"/>
      <c r="H100" s="334"/>
      <c r="I100" s="335"/>
      <c r="J100" s="15"/>
      <c r="K100" s="15"/>
      <c r="L100" s="15"/>
      <c r="M100" s="15"/>
      <c r="N100" s="15"/>
      <c r="O100" s="15"/>
      <c r="P100" s="15"/>
      <c r="Q100" s="15"/>
      <c r="R100" s="15"/>
      <c r="S100" s="36"/>
      <c r="T100" s="15"/>
      <c r="U100" s="15"/>
      <c r="V100" s="15"/>
      <c r="W100" s="342"/>
      <c r="X100" s="343"/>
    </row>
    <row r="101" spans="2:24" ht="20.25" thickTop="1" thickBot="1">
      <c r="B101" s="19"/>
      <c r="C101" s="18">
        <v>89</v>
      </c>
      <c r="D101" s="30" t="str">
        <f>UPPER(IF(LEN('Student List'!C93)&gt;0,'Student List'!C93,""))</f>
        <v/>
      </c>
      <c r="E101" s="333" t="str">
        <f>UPPER(IF(LEN('Student List'!D93)&gt;0,'Student List'!D93,""))</f>
        <v/>
      </c>
      <c r="F101" s="334"/>
      <c r="G101" s="334"/>
      <c r="H101" s="334"/>
      <c r="I101" s="335"/>
      <c r="J101" s="15"/>
      <c r="K101" s="15"/>
      <c r="L101" s="15"/>
      <c r="M101" s="15"/>
      <c r="N101" s="15"/>
      <c r="O101" s="15"/>
      <c r="P101" s="15"/>
      <c r="Q101" s="15"/>
      <c r="R101" s="15"/>
      <c r="S101" s="36"/>
      <c r="T101" s="15"/>
      <c r="U101" s="15"/>
      <c r="V101" s="15"/>
      <c r="W101" s="342"/>
      <c r="X101" s="343"/>
    </row>
    <row r="102" spans="2:24" ht="20.25" thickTop="1" thickBot="1">
      <c r="B102" s="19"/>
      <c r="C102" s="18">
        <v>90</v>
      </c>
      <c r="D102" s="30" t="str">
        <f>UPPER(IF(LEN('Student List'!C94)&gt;0,'Student List'!C94,""))</f>
        <v/>
      </c>
      <c r="E102" s="333" t="str">
        <f>UPPER(IF(LEN('Student List'!D94)&gt;0,'Student List'!D94,""))</f>
        <v/>
      </c>
      <c r="F102" s="334"/>
      <c r="G102" s="334"/>
      <c r="H102" s="334"/>
      <c r="I102" s="335"/>
      <c r="J102" s="15"/>
      <c r="K102" s="15"/>
      <c r="L102" s="15"/>
      <c r="M102" s="15"/>
      <c r="N102" s="15"/>
      <c r="O102" s="15"/>
      <c r="P102" s="15"/>
      <c r="Q102" s="15"/>
      <c r="R102" s="15"/>
      <c r="S102" s="36"/>
      <c r="T102" s="15"/>
      <c r="U102" s="15"/>
      <c r="V102" s="15"/>
      <c r="W102" s="342"/>
      <c r="X102" s="343"/>
    </row>
    <row r="103" spans="2:24" ht="20.25" thickTop="1" thickBot="1">
      <c r="B103" s="19"/>
      <c r="C103" s="18">
        <v>91</v>
      </c>
      <c r="D103" s="30" t="str">
        <f>UPPER(IF(LEN('Student List'!C95)&gt;0,'Student List'!C95,""))</f>
        <v/>
      </c>
      <c r="E103" s="333" t="str">
        <f>UPPER(IF(LEN('Student List'!D95)&gt;0,'Student List'!D95,""))</f>
        <v/>
      </c>
      <c r="F103" s="334"/>
      <c r="G103" s="334"/>
      <c r="H103" s="334"/>
      <c r="I103" s="335"/>
      <c r="J103" s="15"/>
      <c r="K103" s="15"/>
      <c r="L103" s="15"/>
      <c r="M103" s="15"/>
      <c r="N103" s="15"/>
      <c r="O103" s="15"/>
      <c r="P103" s="15"/>
      <c r="Q103" s="15"/>
      <c r="R103" s="15"/>
      <c r="S103" s="36"/>
      <c r="T103" s="15"/>
      <c r="U103" s="15"/>
      <c r="V103" s="15"/>
      <c r="W103" s="342"/>
      <c r="X103" s="343"/>
    </row>
    <row r="104" spans="2:24" ht="20.25" thickTop="1" thickBot="1">
      <c r="B104" s="19"/>
      <c r="C104" s="18">
        <v>92</v>
      </c>
      <c r="D104" s="30" t="str">
        <f>UPPER(IF(LEN('Student List'!C96)&gt;0,'Student List'!C96,""))</f>
        <v/>
      </c>
      <c r="E104" s="333" t="str">
        <f>UPPER(IF(LEN('Student List'!D96)&gt;0,'Student List'!D96,""))</f>
        <v/>
      </c>
      <c r="F104" s="334"/>
      <c r="G104" s="334"/>
      <c r="H104" s="334"/>
      <c r="I104" s="335"/>
      <c r="J104" s="15"/>
      <c r="K104" s="15"/>
      <c r="L104" s="15"/>
      <c r="M104" s="15"/>
      <c r="N104" s="15"/>
      <c r="O104" s="15"/>
      <c r="P104" s="15"/>
      <c r="Q104" s="15"/>
      <c r="R104" s="15"/>
      <c r="S104" s="36"/>
      <c r="T104" s="15"/>
      <c r="U104" s="15"/>
      <c r="V104" s="15"/>
      <c r="W104" s="342"/>
      <c r="X104" s="343"/>
    </row>
    <row r="105" spans="2:24" ht="20.25" thickTop="1" thickBot="1">
      <c r="B105" s="19"/>
      <c r="C105" s="18">
        <v>93</v>
      </c>
      <c r="D105" s="30" t="str">
        <f>UPPER(IF(LEN('Student List'!C97)&gt;0,'Student List'!C97,""))</f>
        <v/>
      </c>
      <c r="E105" s="333" t="str">
        <f>UPPER(IF(LEN('Student List'!D97)&gt;0,'Student List'!D97,""))</f>
        <v/>
      </c>
      <c r="F105" s="334"/>
      <c r="G105" s="334"/>
      <c r="H105" s="334"/>
      <c r="I105" s="335"/>
      <c r="J105" s="15"/>
      <c r="K105" s="15"/>
      <c r="L105" s="15"/>
      <c r="M105" s="15"/>
      <c r="N105" s="15"/>
      <c r="O105" s="15"/>
      <c r="P105" s="15"/>
      <c r="Q105" s="15"/>
      <c r="R105" s="15"/>
      <c r="S105" s="36"/>
      <c r="T105" s="15"/>
      <c r="U105" s="15"/>
      <c r="V105" s="15"/>
      <c r="W105" s="342"/>
      <c r="X105" s="343"/>
    </row>
    <row r="106" spans="2:24" ht="20.25" thickTop="1" thickBot="1">
      <c r="B106" s="19"/>
      <c r="C106" s="18">
        <v>94</v>
      </c>
      <c r="D106" s="30" t="str">
        <f>UPPER(IF(LEN('Student List'!C98)&gt;0,'Student List'!C98,""))</f>
        <v/>
      </c>
      <c r="E106" s="333" t="str">
        <f>UPPER(IF(LEN('Student List'!D98)&gt;0,'Student List'!D98,""))</f>
        <v/>
      </c>
      <c r="F106" s="334"/>
      <c r="G106" s="334"/>
      <c r="H106" s="334"/>
      <c r="I106" s="335"/>
      <c r="J106" s="15"/>
      <c r="K106" s="15"/>
      <c r="L106" s="15"/>
      <c r="M106" s="15"/>
      <c r="N106" s="15"/>
      <c r="O106" s="15"/>
      <c r="P106" s="15"/>
      <c r="Q106" s="15"/>
      <c r="R106" s="15"/>
      <c r="S106" s="36"/>
      <c r="T106" s="15"/>
      <c r="U106" s="15"/>
      <c r="V106" s="15"/>
      <c r="W106" s="342"/>
      <c r="X106" s="343"/>
    </row>
    <row r="107" spans="2:24" ht="20.25" thickTop="1" thickBot="1">
      <c r="B107" s="19"/>
      <c r="C107" s="18">
        <v>95</v>
      </c>
      <c r="D107" s="30" t="str">
        <f>UPPER(IF(LEN('Student List'!C99)&gt;0,'Student List'!C99,""))</f>
        <v/>
      </c>
      <c r="E107" s="333" t="str">
        <f>UPPER(IF(LEN('Student List'!D99)&gt;0,'Student List'!D99,""))</f>
        <v/>
      </c>
      <c r="F107" s="334"/>
      <c r="G107" s="334"/>
      <c r="H107" s="334"/>
      <c r="I107" s="335"/>
      <c r="J107" s="15"/>
      <c r="K107" s="15"/>
      <c r="L107" s="15"/>
      <c r="M107" s="15"/>
      <c r="N107" s="15"/>
      <c r="O107" s="15"/>
      <c r="P107" s="15"/>
      <c r="Q107" s="15"/>
      <c r="R107" s="15"/>
      <c r="S107" s="36"/>
      <c r="T107" s="15"/>
      <c r="U107" s="15"/>
      <c r="V107" s="15"/>
      <c r="W107" s="342"/>
      <c r="X107" s="343"/>
    </row>
    <row r="108" spans="2:24" ht="20.25" thickTop="1" thickBot="1">
      <c r="B108" s="19"/>
      <c r="C108" s="18">
        <v>96</v>
      </c>
      <c r="D108" s="30" t="str">
        <f>UPPER(IF(LEN('Student List'!C100)&gt;0,'Student List'!C100,""))</f>
        <v/>
      </c>
      <c r="E108" s="333" t="str">
        <f>UPPER(IF(LEN('Student List'!D100)&gt;0,'Student List'!D100,""))</f>
        <v/>
      </c>
      <c r="F108" s="334"/>
      <c r="G108" s="334"/>
      <c r="H108" s="334"/>
      <c r="I108" s="335"/>
      <c r="J108" s="15"/>
      <c r="K108" s="15"/>
      <c r="L108" s="15"/>
      <c r="M108" s="15"/>
      <c r="N108" s="15"/>
      <c r="O108" s="15"/>
      <c r="P108" s="15"/>
      <c r="Q108" s="15"/>
      <c r="R108" s="15"/>
      <c r="S108" s="36"/>
      <c r="T108" s="15"/>
      <c r="U108" s="15"/>
      <c r="V108" s="15"/>
      <c r="W108" s="342"/>
      <c r="X108" s="343"/>
    </row>
    <row r="109" spans="2:24" ht="20.25" thickTop="1" thickBot="1">
      <c r="B109" s="19"/>
      <c r="C109" s="18">
        <v>97</v>
      </c>
      <c r="D109" s="30" t="str">
        <f>UPPER(IF(LEN('Student List'!C101)&gt;0,'Student List'!C101,""))</f>
        <v/>
      </c>
      <c r="E109" s="333" t="str">
        <f>UPPER(IF(LEN('Student List'!D101)&gt;0,'Student List'!D101,""))</f>
        <v/>
      </c>
      <c r="F109" s="334"/>
      <c r="G109" s="334"/>
      <c r="H109" s="334"/>
      <c r="I109" s="335"/>
      <c r="J109" s="15"/>
      <c r="K109" s="15"/>
      <c r="L109" s="15"/>
      <c r="M109" s="15"/>
      <c r="N109" s="15"/>
      <c r="O109" s="15"/>
      <c r="P109" s="15"/>
      <c r="Q109" s="15"/>
      <c r="R109" s="15"/>
      <c r="S109" s="36"/>
      <c r="T109" s="15"/>
      <c r="U109" s="15"/>
      <c r="V109" s="15"/>
      <c r="W109" s="342"/>
      <c r="X109" s="343"/>
    </row>
    <row r="110" spans="2:24" ht="20.25" thickTop="1" thickBot="1">
      <c r="B110" s="19"/>
      <c r="C110" s="18">
        <v>98</v>
      </c>
      <c r="D110" s="30" t="str">
        <f>UPPER(IF(LEN('Student List'!C102)&gt;0,'Student List'!C102,""))</f>
        <v/>
      </c>
      <c r="E110" s="333" t="str">
        <f>UPPER(IF(LEN('Student List'!D102)&gt;0,'Student List'!D102,""))</f>
        <v/>
      </c>
      <c r="F110" s="334"/>
      <c r="G110" s="334"/>
      <c r="H110" s="334"/>
      <c r="I110" s="335"/>
      <c r="J110" s="15"/>
      <c r="K110" s="15"/>
      <c r="L110" s="15"/>
      <c r="M110" s="15"/>
      <c r="N110" s="15"/>
      <c r="O110" s="15"/>
      <c r="P110" s="15"/>
      <c r="Q110" s="15"/>
      <c r="R110" s="15"/>
      <c r="S110" s="36"/>
      <c r="T110" s="15"/>
      <c r="U110" s="15"/>
      <c r="V110" s="15"/>
      <c r="W110" s="342"/>
      <c r="X110" s="343"/>
    </row>
    <row r="111" spans="2:24" ht="20.25" thickTop="1" thickBot="1">
      <c r="B111" s="19"/>
      <c r="C111" s="18">
        <v>99</v>
      </c>
      <c r="D111" s="30" t="str">
        <f>UPPER(IF(LEN('Student List'!C103)&gt;0,'Student List'!C103,""))</f>
        <v/>
      </c>
      <c r="E111" s="333" t="str">
        <f>UPPER(IF(LEN('Student List'!D103)&gt;0,'Student List'!D103,""))</f>
        <v/>
      </c>
      <c r="F111" s="334"/>
      <c r="G111" s="334"/>
      <c r="H111" s="334"/>
      <c r="I111" s="335"/>
      <c r="J111" s="15"/>
      <c r="K111" s="15"/>
      <c r="L111" s="15"/>
      <c r="M111" s="15"/>
      <c r="N111" s="15"/>
      <c r="O111" s="15"/>
      <c r="P111" s="15"/>
      <c r="Q111" s="15"/>
      <c r="R111" s="15"/>
      <c r="S111" s="36"/>
      <c r="T111" s="15"/>
      <c r="U111" s="15"/>
      <c r="V111" s="15"/>
      <c r="W111" s="342"/>
      <c r="X111" s="343"/>
    </row>
    <row r="112" spans="2:24" ht="20.25" thickTop="1" thickBot="1">
      <c r="B112" s="19"/>
      <c r="C112" s="18">
        <v>100</v>
      </c>
      <c r="D112" s="30" t="str">
        <f>UPPER(IF(LEN('Student List'!C104)&gt;0,'Student List'!C104,""))</f>
        <v/>
      </c>
      <c r="E112" s="333" t="str">
        <f>UPPER(IF(LEN('Student List'!D104)&gt;0,'Student List'!D104,""))</f>
        <v/>
      </c>
      <c r="F112" s="334"/>
      <c r="G112" s="334"/>
      <c r="H112" s="334"/>
      <c r="I112" s="335"/>
      <c r="J112" s="15"/>
      <c r="K112" s="15"/>
      <c r="L112" s="15"/>
      <c r="M112" s="15"/>
      <c r="N112" s="15"/>
      <c r="O112" s="15"/>
      <c r="P112" s="15"/>
      <c r="Q112" s="15"/>
      <c r="R112" s="15"/>
      <c r="S112" s="36"/>
      <c r="T112" s="15"/>
      <c r="U112" s="15"/>
      <c r="V112" s="15"/>
      <c r="W112" s="342"/>
      <c r="X112" s="343"/>
    </row>
    <row r="113" spans="2:24" ht="16.5" thickTop="1" thickBot="1"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395"/>
      <c r="X113" s="396"/>
    </row>
    <row r="114" spans="2:24" ht="15.75" thickTop="1"/>
  </sheetData>
  <sheetProtection password="F89D" sheet="1" objects="1" scenarios="1" formatCells="0"/>
  <mergeCells count="154">
    <mergeCell ref="W37:X113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X26:X34"/>
    <mergeCell ref="W36:X36"/>
    <mergeCell ref="W35:X35"/>
    <mergeCell ref="E97:I97"/>
    <mergeCell ref="E98:I98"/>
    <mergeCell ref="E99:I99"/>
    <mergeCell ref="E100:I100"/>
    <mergeCell ref="E101:I101"/>
    <mergeCell ref="E102:I102"/>
    <mergeCell ref="E91:I91"/>
    <mergeCell ref="E92:I92"/>
    <mergeCell ref="E93:I93"/>
    <mergeCell ref="E94:I94"/>
    <mergeCell ref="E95:I95"/>
    <mergeCell ref="E96:I96"/>
    <mergeCell ref="E109:I109"/>
    <mergeCell ref="E110:I110"/>
    <mergeCell ref="E111:I111"/>
    <mergeCell ref="E112:I112"/>
    <mergeCell ref="E103:I103"/>
    <mergeCell ref="E104:I104"/>
    <mergeCell ref="E105:I105"/>
    <mergeCell ref="E106:I106"/>
    <mergeCell ref="E107:I107"/>
    <mergeCell ref="E108:I108"/>
    <mergeCell ref="E85:I85"/>
    <mergeCell ref="E86:I86"/>
    <mergeCell ref="E87:I87"/>
    <mergeCell ref="E88:I88"/>
    <mergeCell ref="E89:I89"/>
    <mergeCell ref="E90:I90"/>
    <mergeCell ref="E79:I79"/>
    <mergeCell ref="E80:I80"/>
    <mergeCell ref="E81:I81"/>
    <mergeCell ref="E82:I82"/>
    <mergeCell ref="E83:I83"/>
    <mergeCell ref="E84:I84"/>
    <mergeCell ref="E73:I73"/>
    <mergeCell ref="E74:I74"/>
    <mergeCell ref="E75:I75"/>
    <mergeCell ref="E76:I76"/>
    <mergeCell ref="E77:I77"/>
    <mergeCell ref="E78:I78"/>
    <mergeCell ref="E67:I67"/>
    <mergeCell ref="E68:I68"/>
    <mergeCell ref="E69:I69"/>
    <mergeCell ref="E70:I70"/>
    <mergeCell ref="E71:I71"/>
    <mergeCell ref="E72:I72"/>
    <mergeCell ref="E62:I62"/>
    <mergeCell ref="E63:I63"/>
    <mergeCell ref="E64:I64"/>
    <mergeCell ref="E65:I65"/>
    <mergeCell ref="E66:I66"/>
    <mergeCell ref="E55:I55"/>
    <mergeCell ref="E56:I56"/>
    <mergeCell ref="E57:I57"/>
    <mergeCell ref="E58:I58"/>
    <mergeCell ref="E59:I59"/>
    <mergeCell ref="E60:I60"/>
    <mergeCell ref="E53:I53"/>
    <mergeCell ref="E54:I54"/>
    <mergeCell ref="E43:I43"/>
    <mergeCell ref="E44:I44"/>
    <mergeCell ref="E45:I45"/>
    <mergeCell ref="E46:I46"/>
    <mergeCell ref="E47:I47"/>
    <mergeCell ref="E48:I48"/>
    <mergeCell ref="E61:I61"/>
    <mergeCell ref="E49:I49"/>
    <mergeCell ref="E50:I50"/>
    <mergeCell ref="E51:I51"/>
    <mergeCell ref="E52:I52"/>
    <mergeCell ref="E37:I37"/>
    <mergeCell ref="E38:I38"/>
    <mergeCell ref="E39:I39"/>
    <mergeCell ref="E40:I40"/>
    <mergeCell ref="E41:I41"/>
    <mergeCell ref="E42:I42"/>
    <mergeCell ref="E12:I12"/>
    <mergeCell ref="E13:I13"/>
    <mergeCell ref="L12:T12"/>
    <mergeCell ref="L13:T13"/>
    <mergeCell ref="L14:T14"/>
    <mergeCell ref="L15:T15"/>
    <mergeCell ref="E21:I21"/>
    <mergeCell ref="E22:I22"/>
    <mergeCell ref="E23:I23"/>
    <mergeCell ref="K22:Q22"/>
    <mergeCell ref="K23:Q23"/>
    <mergeCell ref="R22:V24"/>
    <mergeCell ref="L16:T16"/>
    <mergeCell ref="L17:T17"/>
    <mergeCell ref="L18:T18"/>
    <mergeCell ref="L19:T19"/>
    <mergeCell ref="L20:T20"/>
    <mergeCell ref="K25:V25"/>
    <mergeCell ref="E29:I29"/>
    <mergeCell ref="E30:I30"/>
    <mergeCell ref="E20:I20"/>
    <mergeCell ref="E24:I24"/>
    <mergeCell ref="E31:I31"/>
    <mergeCell ref="E32:I32"/>
    <mergeCell ref="E33:I33"/>
    <mergeCell ref="N8:O8"/>
    <mergeCell ref="L8:M8"/>
    <mergeCell ref="E19:I19"/>
    <mergeCell ref="E14:I14"/>
    <mergeCell ref="E15:I15"/>
    <mergeCell ref="E16:I16"/>
    <mergeCell ref="E17:I17"/>
    <mergeCell ref="E18:I18"/>
    <mergeCell ref="E25:I25"/>
    <mergeCell ref="E26:I26"/>
    <mergeCell ref="E27:I27"/>
    <mergeCell ref="E35:I35"/>
    <mergeCell ref="E36:I36"/>
    <mergeCell ref="K24:Q24"/>
    <mergeCell ref="K36:O36"/>
    <mergeCell ref="B3:X3"/>
    <mergeCell ref="W4:X4"/>
    <mergeCell ref="W11:X11"/>
    <mergeCell ref="E5:F5"/>
    <mergeCell ref="I5:K5"/>
    <mergeCell ref="L5:M5"/>
    <mergeCell ref="E6:F6"/>
    <mergeCell ref="I6:K6"/>
    <mergeCell ref="C11:I11"/>
    <mergeCell ref="K11:V11"/>
    <mergeCell ref="N9:P9"/>
    <mergeCell ref="E7:F7"/>
    <mergeCell ref="I7:K7"/>
    <mergeCell ref="L7:P7"/>
    <mergeCell ref="H9:M9"/>
    <mergeCell ref="E9:G9"/>
    <mergeCell ref="I8:K8"/>
    <mergeCell ref="L6:P6"/>
    <mergeCell ref="E34:I34"/>
    <mergeCell ref="E28:I28"/>
  </mergeCells>
  <pageMargins left="0.7" right="0.7" top="0.75" bottom="0.75" header="0.3" footer="0.3"/>
  <pageSetup orientation="portrait" r:id="rId1"/>
  <ignoredErrors>
    <ignoredError sqref="L6:L8 L13:L20 G5:G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D60"/>
  <sheetViews>
    <sheetView showRowColHeaders="0" topLeftCell="A2" zoomScale="85" zoomScaleNormal="85" workbookViewId="0">
      <pane ySplit="14" topLeftCell="A19" activePane="bottomLeft" state="frozen"/>
      <selection activeCell="A2" sqref="A2"/>
      <selection pane="bottomLeft" activeCell="B1" sqref="B1"/>
    </sheetView>
  </sheetViews>
  <sheetFormatPr defaultColWidth="9.140625" defaultRowHeight="15"/>
  <cols>
    <col min="1" max="1" width="4.85546875" style="1" customWidth="1"/>
    <col min="2" max="2" width="6.85546875" style="1" customWidth="1"/>
    <col min="3" max="3" width="9.7109375" style="1" customWidth="1"/>
    <col min="4" max="4" width="4.7109375" style="1" customWidth="1"/>
    <col min="5" max="5" width="5.42578125" style="1" customWidth="1"/>
    <col min="6" max="6" width="5.140625" style="1" customWidth="1"/>
    <col min="7" max="7" width="4.85546875" style="1" customWidth="1"/>
    <col min="8" max="8" width="2.85546875" style="1" customWidth="1"/>
    <col min="9" max="9" width="8.140625" style="1" customWidth="1"/>
    <col min="10" max="10" width="9.140625" style="1" customWidth="1"/>
    <col min="11" max="11" width="9.140625" style="1"/>
    <col min="12" max="14" width="5.42578125" style="1" customWidth="1"/>
    <col min="15" max="15" width="2.85546875" style="1" customWidth="1"/>
    <col min="16" max="16" width="8.140625" style="1" customWidth="1"/>
    <col min="17" max="17" width="10.5703125" style="1" customWidth="1"/>
    <col min="18" max="18" width="8.140625" style="1" customWidth="1"/>
    <col min="19" max="21" width="5.42578125" style="1" customWidth="1"/>
    <col min="22" max="22" width="3" style="1" customWidth="1"/>
    <col min="23" max="23" width="8.140625" style="1" customWidth="1"/>
    <col min="24" max="24" width="10.5703125" style="1" customWidth="1"/>
    <col min="25" max="25" width="8.28515625" style="1" customWidth="1"/>
    <col min="26" max="26" width="5.140625" style="1" customWidth="1"/>
    <col min="27" max="27" width="4.85546875" style="1" customWidth="1"/>
    <col min="28" max="28" width="6.140625" style="1" customWidth="1"/>
    <col min="29" max="35" width="9.140625" style="1"/>
    <col min="36" max="36" width="9.140625" style="1" customWidth="1"/>
    <col min="37" max="37" width="3" style="1" customWidth="1"/>
    <col min="38" max="38" width="3.140625" style="1" bestFit="1" customWidth="1"/>
    <col min="39" max="39" width="4.5703125" style="31" hidden="1" customWidth="1"/>
    <col min="40" max="41" width="9.140625" style="1" customWidth="1"/>
    <col min="42" max="16384" width="9.140625" style="1"/>
  </cols>
  <sheetData>
    <row r="1" spans="1:56" hidden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31">
        <v>39</v>
      </c>
    </row>
    <row r="2" spans="1:56" ht="15.75" thickBot="1"/>
    <row r="3" spans="1:56">
      <c r="C3" s="410" t="s">
        <v>43</v>
      </c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2"/>
      <c r="AM3" s="31" t="str">
        <f>IF(TRIM('Student Details'!K13)="","",TRIM('Student Details'!K13))</f>
        <v>C0.1</v>
      </c>
      <c r="AO3" s="206" t="s">
        <v>79</v>
      </c>
      <c r="AP3" s="206" t="s">
        <v>80</v>
      </c>
      <c r="AQ3" s="206" t="s">
        <v>81</v>
      </c>
      <c r="AR3" s="206" t="s">
        <v>82</v>
      </c>
      <c r="AS3" s="206" t="s">
        <v>83</v>
      </c>
      <c r="AT3" s="206" t="s">
        <v>84</v>
      </c>
      <c r="AU3" s="206" t="s">
        <v>85</v>
      </c>
      <c r="AV3" s="206" t="s">
        <v>86</v>
      </c>
      <c r="AW3" s="206" t="s">
        <v>87</v>
      </c>
      <c r="AX3" s="206" t="s">
        <v>88</v>
      </c>
      <c r="AY3" s="206" t="s">
        <v>89</v>
      </c>
      <c r="AZ3" s="206" t="s">
        <v>90</v>
      </c>
      <c r="BA3" s="206"/>
      <c r="BB3" s="206"/>
      <c r="BC3" s="206"/>
      <c r="BD3" s="206"/>
    </row>
    <row r="4" spans="1:56" ht="15.75" thickBot="1">
      <c r="C4" s="413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5"/>
      <c r="AM4" s="31" t="str">
        <f>IF(TRIM('Student Details'!K14)="","",TRIM('Student Details'!K14))</f>
        <v>C0.2</v>
      </c>
      <c r="AO4" s="207">
        <f ca="1">IF('Final Analysis'!J48="",0,'Final Analysis'!J48)</f>
        <v>0</v>
      </c>
      <c r="AP4" s="207">
        <f ca="1">IF('Final Analysis'!K48="",0,'Final Analysis'!K48)</f>
        <v>0</v>
      </c>
      <c r="AQ4" s="207">
        <f ca="1">IF('Final Analysis'!L48="",0,'Final Analysis'!L48)</f>
        <v>0</v>
      </c>
      <c r="AR4" s="207">
        <f ca="1">IF('Final Analysis'!M48="",0,'Final Analysis'!M48)</f>
        <v>0</v>
      </c>
      <c r="AS4" s="207">
        <f ca="1">IF('Final Analysis'!N48="",0,'Final Analysis'!N48)</f>
        <v>0</v>
      </c>
      <c r="AT4" s="207">
        <f ca="1">IF('Final Analysis'!O48="",0,'Final Analysis'!O48)</f>
        <v>0</v>
      </c>
      <c r="AU4" s="207">
        <f ca="1">IF('Final Analysis'!P48="",0,'Final Analysis'!P48)</f>
        <v>0</v>
      </c>
      <c r="AV4" s="207">
        <f ca="1">IF('Final Analysis'!Q48="",0,'Final Analysis'!Q48)</f>
        <v>0</v>
      </c>
      <c r="AW4" s="207">
        <f ca="1">IF('Final Analysis'!R48="",0,'Final Analysis'!R48)</f>
        <v>0</v>
      </c>
      <c r="AX4" s="207">
        <f ca="1">IF('Final Analysis'!S48="",0,'Final Analysis'!S48)</f>
        <v>0</v>
      </c>
      <c r="AY4" s="207">
        <f ca="1">IF('Final Analysis'!T48="",0,'Final Analysis'!T48)</f>
        <v>0</v>
      </c>
      <c r="AZ4" s="207">
        <f ca="1">IF('Final Analysis'!U48="",0,'Final Analysis'!U48)</f>
        <v>0</v>
      </c>
      <c r="BA4" s="206"/>
      <c r="BB4" s="206"/>
      <c r="BC4" s="206"/>
      <c r="BD4" s="206"/>
    </row>
    <row r="5" spans="1:56" ht="15.75" thickBot="1">
      <c r="C5" s="3"/>
      <c r="D5" s="4"/>
      <c r="E5" s="4"/>
      <c r="F5" s="4"/>
      <c r="G5" s="4"/>
      <c r="H5" s="4"/>
      <c r="I5" s="4"/>
      <c r="J5" s="4"/>
      <c r="K5" s="14"/>
      <c r="L5" s="1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M5" s="31" t="str">
        <f>IF(TRIM('Student Details'!K15)="","",TRIM('Student Details'!K15))</f>
        <v>C0.3</v>
      </c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</row>
    <row r="6" spans="1:56" ht="20.25" thickTop="1" thickBot="1">
      <c r="C6" s="3"/>
      <c r="D6" s="4"/>
      <c r="E6" s="398" t="s">
        <v>2</v>
      </c>
      <c r="F6" s="399"/>
      <c r="G6" s="399"/>
      <c r="H6" s="400"/>
      <c r="I6" s="26">
        <f>'Student Details'!G5</f>
        <v>6</v>
      </c>
      <c r="J6" s="9"/>
      <c r="K6" s="416" t="s">
        <v>0</v>
      </c>
      <c r="L6" s="417"/>
      <c r="M6" s="418" t="str">
        <f>'Student Details'!L5</f>
        <v>EE6T01</v>
      </c>
      <c r="N6" s="419"/>
      <c r="O6" s="419"/>
      <c r="P6" s="420"/>
      <c r="Q6" s="27"/>
      <c r="R6" s="28"/>
      <c r="S6" s="4"/>
      <c r="T6" s="23"/>
      <c r="U6" s="24"/>
      <c r="V6" s="24"/>
      <c r="W6" s="24"/>
      <c r="X6" s="24"/>
      <c r="Y6" s="25"/>
      <c r="Z6" s="5"/>
      <c r="AM6" s="31" t="str">
        <f>IF(TRIM('Student Details'!K16)="","",TRIM('Student Details'!K16))</f>
        <v>C0.4</v>
      </c>
      <c r="AO6" s="206" t="s">
        <v>95</v>
      </c>
      <c r="AP6" s="206" t="s">
        <v>96</v>
      </c>
      <c r="AQ6" s="206" t="s">
        <v>97</v>
      </c>
      <c r="AR6" s="206" t="s">
        <v>98</v>
      </c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</row>
    <row r="7" spans="1:56" ht="20.25" thickTop="1" thickBot="1">
      <c r="C7" s="3"/>
      <c r="D7" s="4"/>
      <c r="E7" s="398" t="s">
        <v>3</v>
      </c>
      <c r="F7" s="399"/>
      <c r="G7" s="399"/>
      <c r="H7" s="400"/>
      <c r="I7" s="26" t="str">
        <f>'Student Details'!G6</f>
        <v>A</v>
      </c>
      <c r="J7" s="9"/>
      <c r="K7" s="421" t="s">
        <v>1</v>
      </c>
      <c r="L7" s="402"/>
      <c r="M7" s="403" t="str">
        <f>'Student Details'!L6</f>
        <v>Power System Analysis &amp; Stability</v>
      </c>
      <c r="N7" s="404"/>
      <c r="O7" s="404"/>
      <c r="P7" s="404"/>
      <c r="Q7" s="404"/>
      <c r="R7" s="405"/>
      <c r="S7" s="4"/>
      <c r="T7" s="3"/>
      <c r="U7" s="4"/>
      <c r="V7" s="4"/>
      <c r="W7" s="4"/>
      <c r="X7" s="4"/>
      <c r="Y7" s="5"/>
      <c r="Z7" s="5"/>
      <c r="AM7" s="31" t="str">
        <f>IF(TRIM('Student Details'!K17)="","",TRIM('Student Details'!K17))</f>
        <v>C0.5</v>
      </c>
      <c r="AO7" s="207">
        <f ca="1">IF('Final Analysis'!J85="",0,'Final Analysis'!J85)</f>
        <v>0</v>
      </c>
      <c r="AP7" s="207">
        <f ca="1">IF('Final Analysis'!K85="",0,'Final Analysis'!K85)</f>
        <v>0</v>
      </c>
      <c r="AQ7" s="207">
        <f ca="1">IF('Final Analysis'!L85="",0,'Final Analysis'!L85)</f>
        <v>0</v>
      </c>
      <c r="AR7" s="207">
        <f ca="1">IF('Final Analysis'!M85="",0,'Final Analysis'!M85)</f>
        <v>0</v>
      </c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</row>
    <row r="8" spans="1:56" ht="20.25" thickTop="1" thickBot="1">
      <c r="C8" s="3"/>
      <c r="D8" s="4"/>
      <c r="E8" s="398" t="s">
        <v>35</v>
      </c>
      <c r="F8" s="399"/>
      <c r="G8" s="399"/>
      <c r="H8" s="400"/>
      <c r="I8" s="26">
        <f>'Student Details'!G7</f>
        <v>61</v>
      </c>
      <c r="J8" s="9"/>
      <c r="K8" s="401" t="s">
        <v>4</v>
      </c>
      <c r="L8" s="402"/>
      <c r="M8" s="403" t="str">
        <f>'Student Details'!L7</f>
        <v>ELECTRICAL ENGG</v>
      </c>
      <c r="N8" s="404"/>
      <c r="O8" s="404"/>
      <c r="P8" s="404"/>
      <c r="Q8" s="404"/>
      <c r="R8" s="405"/>
      <c r="S8" s="4"/>
      <c r="T8" s="3"/>
      <c r="U8" s="4"/>
      <c r="V8" s="4"/>
      <c r="W8" s="4"/>
      <c r="X8" s="4"/>
      <c r="Y8" s="5"/>
      <c r="Z8" s="5"/>
      <c r="AM8" s="31" t="str">
        <f>IF(TRIM('Student Details'!K18)="","",TRIM('Student Details'!K18))</f>
        <v/>
      </c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</row>
    <row r="9" spans="1:56" ht="16.5" thickTop="1" thickBot="1"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  <c r="U9" s="4"/>
      <c r="V9" s="4"/>
      <c r="W9" s="4"/>
      <c r="X9" s="4"/>
      <c r="Y9" s="5"/>
      <c r="Z9" s="5"/>
      <c r="AM9" s="31" t="str">
        <f>IF(TRIM('Student Details'!K19)="","",TRIM('Student Details'!K19))</f>
        <v/>
      </c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</row>
    <row r="10" spans="1:56" ht="20.25" thickTop="1" thickBot="1">
      <c r="C10" s="3"/>
      <c r="D10" s="4"/>
      <c r="E10" s="398" t="s">
        <v>44</v>
      </c>
      <c r="F10" s="399"/>
      <c r="G10" s="399"/>
      <c r="H10" s="406" t="str">
        <f>'Student Details'!H9:M9</f>
        <v>S.K. GIRISH</v>
      </c>
      <c r="I10" s="407"/>
      <c r="J10" s="407"/>
      <c r="K10" s="407"/>
      <c r="L10" s="407"/>
      <c r="M10" s="407"/>
      <c r="N10" s="407"/>
      <c r="O10" s="407"/>
      <c r="P10" s="407"/>
      <c r="Q10" s="407"/>
      <c r="R10" s="408"/>
      <c r="S10" s="4"/>
      <c r="T10" s="6"/>
      <c r="U10" s="7"/>
      <c r="V10" s="7"/>
      <c r="W10" s="7"/>
      <c r="X10" s="7"/>
      <c r="Y10" s="8"/>
      <c r="Z10" s="5"/>
      <c r="AM10" s="31" t="str">
        <f>IF(TRIM('Student Details'!K20)="","",TRIM('Student Details'!K20))</f>
        <v/>
      </c>
      <c r="AO10" s="206" t="s">
        <v>79</v>
      </c>
      <c r="AP10" s="206" t="s">
        <v>80</v>
      </c>
      <c r="AQ10" s="206" t="s">
        <v>81</v>
      </c>
      <c r="AR10" s="206" t="s">
        <v>82</v>
      </c>
      <c r="AS10" s="206" t="s">
        <v>83</v>
      </c>
      <c r="AT10" s="206" t="s">
        <v>84</v>
      </c>
      <c r="AU10" s="206" t="s">
        <v>85</v>
      </c>
      <c r="AV10" s="206" t="s">
        <v>86</v>
      </c>
      <c r="AW10" s="206" t="s">
        <v>87</v>
      </c>
      <c r="AX10" s="206" t="s">
        <v>88</v>
      </c>
      <c r="AY10" s="206" t="s">
        <v>89</v>
      </c>
      <c r="AZ10" s="206" t="s">
        <v>90</v>
      </c>
      <c r="BA10" s="206"/>
      <c r="BB10" s="206"/>
    </row>
    <row r="11" spans="1:56" ht="16.5" thickTop="1" thickBot="1"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O11" s="207">
        <f ca="1">IF('Overall Analysis'!J49="",0,'Overall Analysis'!J49)</f>
        <v>0</v>
      </c>
      <c r="AP11" s="207">
        <f ca="1">IF('Overall Analysis'!K49="",0,'Overall Analysis'!K49)</f>
        <v>0</v>
      </c>
      <c r="AQ11" s="207">
        <f ca="1">IF('Overall Analysis'!L49="",0,'Overall Analysis'!L49)</f>
        <v>0</v>
      </c>
      <c r="AR11" s="207">
        <f ca="1">IF('Overall Analysis'!M49="",0,'Overall Analysis'!M49)</f>
        <v>0</v>
      </c>
      <c r="AS11" s="207">
        <f ca="1">IF('Overall Analysis'!N49="",0,'Overall Analysis'!N49)</f>
        <v>0</v>
      </c>
      <c r="AT11" s="207">
        <f ca="1">IF('Overall Analysis'!O49="",0,'Overall Analysis'!O49)</f>
        <v>0</v>
      </c>
      <c r="AU11" s="207">
        <f ca="1">IF('Overall Analysis'!P49="",0,'Overall Analysis'!P49)</f>
        <v>0</v>
      </c>
      <c r="AV11" s="207">
        <f ca="1">IF('Overall Analysis'!Q49="",0,'Overall Analysis'!Q49)</f>
        <v>0</v>
      </c>
      <c r="AW11" s="207">
        <f ca="1">IF('Overall Analysis'!R49="",0,'Overall Analysis'!R49)</f>
        <v>0</v>
      </c>
      <c r="AX11" s="207">
        <f ca="1">IF('Overall Analysis'!S49="",0,'Overall Analysis'!S49)</f>
        <v>0</v>
      </c>
      <c r="AY11" s="207">
        <f ca="1">IF('Overall Analysis'!T49="",0,'Overall Analysis'!T49)</f>
        <v>0</v>
      </c>
      <c r="AZ11" s="207">
        <f ca="1">IF('Overall Analysis'!U49="",0,'Overall Analysis'!U49)</f>
        <v>0</v>
      </c>
      <c r="BA11" s="206"/>
      <c r="BB11" s="206"/>
    </row>
    <row r="12" spans="1:56" ht="21.75" thickBot="1">
      <c r="C12" s="3"/>
      <c r="D12" s="5"/>
      <c r="E12" s="409" t="s">
        <v>45</v>
      </c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"/>
      <c r="Z12" s="5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</row>
    <row r="13" spans="1:56" ht="15.75" thickBot="1"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  <c r="AO13" s="206" t="s">
        <v>95</v>
      </c>
      <c r="AP13" s="206" t="s">
        <v>96</v>
      </c>
      <c r="AQ13" s="206" t="s">
        <v>97</v>
      </c>
      <c r="AR13" s="206" t="s">
        <v>98</v>
      </c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</row>
    <row r="14" spans="1:56" ht="24" thickBot="1">
      <c r="C14" s="3"/>
      <c r="D14" s="5"/>
      <c r="E14" s="422" t="s">
        <v>36</v>
      </c>
      <c r="F14" s="422"/>
      <c r="G14" s="422"/>
      <c r="H14" s="422"/>
      <c r="I14" s="422"/>
      <c r="J14" s="422"/>
      <c r="K14" s="4"/>
      <c r="L14" s="422" t="s">
        <v>41</v>
      </c>
      <c r="M14" s="422"/>
      <c r="N14" s="422"/>
      <c r="O14" s="422"/>
      <c r="P14" s="422"/>
      <c r="Q14" s="422"/>
      <c r="R14" s="4"/>
      <c r="S14" s="422" t="s">
        <v>42</v>
      </c>
      <c r="T14" s="422"/>
      <c r="U14" s="422"/>
      <c r="V14" s="422"/>
      <c r="W14" s="422"/>
      <c r="X14" s="422"/>
      <c r="Y14" s="4"/>
      <c r="Z14" s="5"/>
      <c r="AO14" s="207">
        <f ca="1">IF('Overall Analysis'!J87="",0,'Overall Analysis'!J87)</f>
        <v>0</v>
      </c>
      <c r="AP14" s="207">
        <f ca="1">IF('Overall Analysis'!K87="",0,'Overall Analysis'!K87)</f>
        <v>0</v>
      </c>
      <c r="AQ14" s="207">
        <f ca="1">IF('Overall Analysis'!L87="",0,'Overall Analysis'!L87)</f>
        <v>0</v>
      </c>
      <c r="AR14" s="207">
        <f ca="1">IF('Overall Analysis'!M87="",0,'Overall Analysis'!M87)</f>
        <v>0</v>
      </c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</row>
    <row r="15" spans="1:56" s="13" customFormat="1" ht="24" customHeight="1" thickBot="1">
      <c r="A15" s="1"/>
      <c r="C15" s="10"/>
      <c r="D15" s="5"/>
      <c r="E15" s="423" t="s">
        <v>37</v>
      </c>
      <c r="F15" s="423"/>
      <c r="G15" s="423" t="s">
        <v>39</v>
      </c>
      <c r="H15" s="423"/>
      <c r="I15" s="102" t="s">
        <v>38</v>
      </c>
      <c r="J15" s="102" t="s">
        <v>40</v>
      </c>
      <c r="K15" s="11"/>
      <c r="L15" s="423" t="s">
        <v>37</v>
      </c>
      <c r="M15" s="423"/>
      <c r="N15" s="423" t="s">
        <v>39</v>
      </c>
      <c r="O15" s="423"/>
      <c r="P15" s="102" t="s">
        <v>38</v>
      </c>
      <c r="Q15" s="102" t="s">
        <v>40</v>
      </c>
      <c r="R15" s="11"/>
      <c r="S15" s="423" t="s">
        <v>37</v>
      </c>
      <c r="T15" s="423"/>
      <c r="U15" s="423" t="s">
        <v>39</v>
      </c>
      <c r="V15" s="423"/>
      <c r="W15" s="102" t="s">
        <v>38</v>
      </c>
      <c r="X15" s="102" t="s">
        <v>40</v>
      </c>
      <c r="Y15" s="4"/>
      <c r="Z15" s="12"/>
      <c r="AM15" s="32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</row>
    <row r="16" spans="1:56" ht="21" customHeight="1" thickTop="1" thickBot="1">
      <c r="C16" s="3"/>
      <c r="D16" s="5"/>
      <c r="E16" s="426">
        <v>1</v>
      </c>
      <c r="F16" s="426"/>
      <c r="G16" s="429" t="s">
        <v>5</v>
      </c>
      <c r="H16" s="429"/>
      <c r="I16" s="33">
        <v>4</v>
      </c>
      <c r="J16" s="33" t="s">
        <v>369</v>
      </c>
      <c r="K16" s="4"/>
      <c r="L16" s="426">
        <v>1</v>
      </c>
      <c r="M16" s="426"/>
      <c r="N16" s="429" t="s">
        <v>5</v>
      </c>
      <c r="O16" s="429"/>
      <c r="P16" s="100">
        <v>5</v>
      </c>
      <c r="Q16" s="100" t="s">
        <v>369</v>
      </c>
      <c r="R16" s="4"/>
      <c r="S16" s="426">
        <v>1</v>
      </c>
      <c r="T16" s="426"/>
      <c r="U16" s="429" t="s">
        <v>5</v>
      </c>
      <c r="V16" s="429"/>
      <c r="W16" s="100">
        <v>6</v>
      </c>
      <c r="X16" s="100" t="s">
        <v>371</v>
      </c>
      <c r="Y16" s="4"/>
      <c r="Z16" s="5"/>
    </row>
    <row r="17" spans="3:26" ht="21" customHeight="1" thickBot="1">
      <c r="C17" s="3"/>
      <c r="D17" s="5"/>
      <c r="E17" s="427"/>
      <c r="F17" s="427"/>
      <c r="G17" s="424" t="s">
        <v>6</v>
      </c>
      <c r="H17" s="424"/>
      <c r="I17" s="34"/>
      <c r="J17" s="34"/>
      <c r="K17" s="4"/>
      <c r="L17" s="427"/>
      <c r="M17" s="427"/>
      <c r="N17" s="424" t="s">
        <v>6</v>
      </c>
      <c r="O17" s="424"/>
      <c r="P17" s="101">
        <v>5</v>
      </c>
      <c r="Q17" s="101" t="s">
        <v>370</v>
      </c>
      <c r="R17" s="4"/>
      <c r="S17" s="427"/>
      <c r="T17" s="427"/>
      <c r="U17" s="424" t="s">
        <v>6</v>
      </c>
      <c r="V17" s="424"/>
      <c r="W17" s="101"/>
      <c r="X17" s="101"/>
      <c r="Y17" s="4"/>
      <c r="Z17" s="12"/>
    </row>
    <row r="18" spans="3:26" ht="21" customHeight="1" thickBot="1">
      <c r="C18" s="3"/>
      <c r="D18" s="5"/>
      <c r="E18" s="427"/>
      <c r="F18" s="427"/>
      <c r="G18" s="424" t="s">
        <v>7</v>
      </c>
      <c r="H18" s="424"/>
      <c r="I18" s="34"/>
      <c r="J18" s="34"/>
      <c r="K18" s="4"/>
      <c r="L18" s="427"/>
      <c r="M18" s="427"/>
      <c r="N18" s="424" t="s">
        <v>7</v>
      </c>
      <c r="O18" s="424"/>
      <c r="P18" s="101"/>
      <c r="Q18" s="101"/>
      <c r="R18" s="4"/>
      <c r="S18" s="427"/>
      <c r="T18" s="427"/>
      <c r="U18" s="424" t="s">
        <v>7</v>
      </c>
      <c r="V18" s="424"/>
      <c r="W18" s="101"/>
      <c r="X18" s="101"/>
      <c r="Y18" s="4"/>
      <c r="Z18" s="12"/>
    </row>
    <row r="19" spans="3:26" ht="21" customHeight="1" thickBot="1">
      <c r="C19" s="3"/>
      <c r="D19" s="5"/>
      <c r="E19" s="428"/>
      <c r="F19" s="428"/>
      <c r="G19" s="425" t="s">
        <v>8</v>
      </c>
      <c r="H19" s="425"/>
      <c r="I19" s="35"/>
      <c r="J19" s="35"/>
      <c r="K19" s="4"/>
      <c r="L19" s="428"/>
      <c r="M19" s="428"/>
      <c r="N19" s="425" t="s">
        <v>8</v>
      </c>
      <c r="O19" s="425"/>
      <c r="P19" s="103"/>
      <c r="Q19" s="103"/>
      <c r="R19" s="4"/>
      <c r="S19" s="428"/>
      <c r="T19" s="428"/>
      <c r="U19" s="425" t="s">
        <v>8</v>
      </c>
      <c r="V19" s="425"/>
      <c r="W19" s="103"/>
      <c r="X19" s="103"/>
      <c r="Y19" s="4"/>
      <c r="Z19" s="12"/>
    </row>
    <row r="20" spans="3:26" ht="21" customHeight="1" thickTop="1" thickBot="1">
      <c r="C20" s="3"/>
      <c r="D20" s="5"/>
      <c r="E20" s="426">
        <v>2</v>
      </c>
      <c r="F20" s="426"/>
      <c r="G20" s="429" t="s">
        <v>5</v>
      </c>
      <c r="H20" s="429"/>
      <c r="I20" s="33">
        <v>10</v>
      </c>
      <c r="J20" s="33" t="s">
        <v>369</v>
      </c>
      <c r="K20" s="4"/>
      <c r="L20" s="426">
        <v>2</v>
      </c>
      <c r="M20" s="426"/>
      <c r="N20" s="429" t="s">
        <v>5</v>
      </c>
      <c r="O20" s="429"/>
      <c r="P20" s="100">
        <v>10</v>
      </c>
      <c r="Q20" s="100" t="s">
        <v>369</v>
      </c>
      <c r="R20" s="4"/>
      <c r="S20" s="426">
        <v>2</v>
      </c>
      <c r="T20" s="426"/>
      <c r="U20" s="429" t="s">
        <v>5</v>
      </c>
      <c r="V20" s="429"/>
      <c r="W20" s="100">
        <v>9</v>
      </c>
      <c r="X20" s="100" t="s">
        <v>372</v>
      </c>
      <c r="Y20" s="4"/>
      <c r="Z20" s="5"/>
    </row>
    <row r="21" spans="3:26" ht="21" customHeight="1" thickBot="1">
      <c r="C21" s="3"/>
      <c r="D21" s="5"/>
      <c r="E21" s="427"/>
      <c r="F21" s="427"/>
      <c r="G21" s="424" t="s">
        <v>6</v>
      </c>
      <c r="H21" s="424"/>
      <c r="I21" s="34"/>
      <c r="J21" s="34"/>
      <c r="K21" s="4"/>
      <c r="L21" s="427"/>
      <c r="M21" s="427"/>
      <c r="N21" s="424" t="s">
        <v>6</v>
      </c>
      <c r="O21" s="424"/>
      <c r="P21" s="101"/>
      <c r="Q21" s="101"/>
      <c r="R21" s="4"/>
      <c r="S21" s="427"/>
      <c r="T21" s="427"/>
      <c r="U21" s="424" t="s">
        <v>6</v>
      </c>
      <c r="V21" s="424"/>
      <c r="W21" s="101"/>
      <c r="X21" s="101"/>
      <c r="Y21" s="4"/>
      <c r="Z21" s="5"/>
    </row>
    <row r="22" spans="3:26" ht="21" customHeight="1" thickBot="1">
      <c r="C22" s="3"/>
      <c r="D22" s="5"/>
      <c r="E22" s="427"/>
      <c r="F22" s="427"/>
      <c r="G22" s="424" t="s">
        <v>7</v>
      </c>
      <c r="H22" s="424"/>
      <c r="I22" s="34"/>
      <c r="J22" s="34"/>
      <c r="K22" s="4"/>
      <c r="L22" s="427"/>
      <c r="M22" s="427"/>
      <c r="N22" s="424" t="s">
        <v>7</v>
      </c>
      <c r="O22" s="424"/>
      <c r="P22" s="101"/>
      <c r="Q22" s="101"/>
      <c r="R22" s="4"/>
      <c r="S22" s="427"/>
      <c r="T22" s="427"/>
      <c r="U22" s="424" t="s">
        <v>7</v>
      </c>
      <c r="V22" s="424"/>
      <c r="W22" s="101"/>
      <c r="X22" s="101"/>
      <c r="Y22" s="4"/>
      <c r="Z22" s="5"/>
    </row>
    <row r="23" spans="3:26" ht="21" customHeight="1" thickBot="1">
      <c r="C23" s="3"/>
      <c r="D23" s="5"/>
      <c r="E23" s="428"/>
      <c r="F23" s="428"/>
      <c r="G23" s="425" t="s">
        <v>8</v>
      </c>
      <c r="H23" s="425"/>
      <c r="I23" s="35"/>
      <c r="J23" s="35"/>
      <c r="K23" s="4"/>
      <c r="L23" s="428"/>
      <c r="M23" s="428"/>
      <c r="N23" s="425" t="s">
        <v>8</v>
      </c>
      <c r="O23" s="425"/>
      <c r="P23" s="103"/>
      <c r="Q23" s="103"/>
      <c r="R23" s="4"/>
      <c r="S23" s="428"/>
      <c r="T23" s="428"/>
      <c r="U23" s="425" t="s">
        <v>8</v>
      </c>
      <c r="V23" s="425"/>
      <c r="W23" s="103"/>
      <c r="X23" s="103"/>
      <c r="Y23" s="4"/>
      <c r="Z23" s="5"/>
    </row>
    <row r="24" spans="3:26" ht="21" customHeight="1" thickTop="1" thickBot="1">
      <c r="C24" s="3"/>
      <c r="D24" s="5"/>
      <c r="E24" s="426">
        <v>3</v>
      </c>
      <c r="F24" s="426"/>
      <c r="G24" s="429" t="s">
        <v>5</v>
      </c>
      <c r="H24" s="429"/>
      <c r="I24" s="33">
        <v>3</v>
      </c>
      <c r="J24" s="33" t="s">
        <v>369</v>
      </c>
      <c r="K24" s="4"/>
      <c r="L24" s="426">
        <v>3</v>
      </c>
      <c r="M24" s="426"/>
      <c r="N24" s="429" t="s">
        <v>5</v>
      </c>
      <c r="O24" s="429"/>
      <c r="P24" s="100">
        <v>10</v>
      </c>
      <c r="Q24" s="100" t="s">
        <v>370</v>
      </c>
      <c r="R24" s="4"/>
      <c r="S24" s="426">
        <v>3</v>
      </c>
      <c r="T24" s="426"/>
      <c r="U24" s="429" t="s">
        <v>5</v>
      </c>
      <c r="V24" s="429"/>
      <c r="W24" s="100">
        <v>6</v>
      </c>
      <c r="X24" s="100" t="s">
        <v>372</v>
      </c>
      <c r="Y24" s="4"/>
      <c r="Z24" s="5"/>
    </row>
    <row r="25" spans="3:26" ht="21" customHeight="1" thickBot="1">
      <c r="C25" s="3"/>
      <c r="D25" s="5"/>
      <c r="E25" s="427"/>
      <c r="F25" s="427"/>
      <c r="G25" s="424" t="s">
        <v>6</v>
      </c>
      <c r="H25" s="424"/>
      <c r="I25" s="34"/>
      <c r="J25" s="34"/>
      <c r="K25" s="4"/>
      <c r="L25" s="427"/>
      <c r="M25" s="427"/>
      <c r="N25" s="424" t="s">
        <v>6</v>
      </c>
      <c r="O25" s="424"/>
      <c r="P25" s="101"/>
      <c r="Q25" s="101"/>
      <c r="R25" s="4"/>
      <c r="S25" s="427"/>
      <c r="T25" s="427"/>
      <c r="U25" s="424" t="s">
        <v>6</v>
      </c>
      <c r="V25" s="424"/>
      <c r="W25" s="101"/>
      <c r="X25" s="101"/>
      <c r="Y25" s="4"/>
      <c r="Z25" s="5"/>
    </row>
    <row r="26" spans="3:26" ht="21" customHeight="1" thickBot="1">
      <c r="C26" s="3"/>
      <c r="D26" s="5"/>
      <c r="E26" s="427"/>
      <c r="F26" s="427"/>
      <c r="G26" s="424" t="s">
        <v>7</v>
      </c>
      <c r="H26" s="424"/>
      <c r="I26" s="34"/>
      <c r="J26" s="34"/>
      <c r="K26" s="4"/>
      <c r="L26" s="427"/>
      <c r="M26" s="427"/>
      <c r="N26" s="424" t="s">
        <v>7</v>
      </c>
      <c r="O26" s="424"/>
      <c r="P26" s="101"/>
      <c r="Q26" s="101"/>
      <c r="R26" s="4"/>
      <c r="S26" s="427"/>
      <c r="T26" s="427"/>
      <c r="U26" s="424" t="s">
        <v>7</v>
      </c>
      <c r="V26" s="424"/>
      <c r="W26" s="101"/>
      <c r="X26" s="101"/>
      <c r="Y26" s="4"/>
      <c r="Z26" s="5"/>
    </row>
    <row r="27" spans="3:26" ht="21" customHeight="1" thickBot="1">
      <c r="C27" s="3"/>
      <c r="D27" s="5"/>
      <c r="E27" s="428"/>
      <c r="F27" s="428"/>
      <c r="G27" s="425" t="s">
        <v>8</v>
      </c>
      <c r="H27" s="425"/>
      <c r="I27" s="35"/>
      <c r="J27" s="35"/>
      <c r="K27" s="4"/>
      <c r="L27" s="428"/>
      <c r="M27" s="428"/>
      <c r="N27" s="425" t="s">
        <v>8</v>
      </c>
      <c r="O27" s="425"/>
      <c r="P27" s="103"/>
      <c r="Q27" s="103"/>
      <c r="R27" s="4"/>
      <c r="S27" s="428"/>
      <c r="T27" s="428"/>
      <c r="U27" s="425" t="s">
        <v>8</v>
      </c>
      <c r="V27" s="425"/>
      <c r="W27" s="103"/>
      <c r="X27" s="103"/>
      <c r="Y27" s="4"/>
      <c r="Z27" s="5"/>
    </row>
    <row r="28" spans="3:26" ht="21" customHeight="1" thickTop="1" thickBot="1">
      <c r="C28" s="3"/>
      <c r="D28" s="5"/>
      <c r="E28" s="426">
        <v>4</v>
      </c>
      <c r="F28" s="426"/>
      <c r="G28" s="429" t="s">
        <v>5</v>
      </c>
      <c r="H28" s="429"/>
      <c r="I28" s="33">
        <v>8</v>
      </c>
      <c r="J28" s="33" t="s">
        <v>370</v>
      </c>
      <c r="K28" s="4"/>
      <c r="L28" s="426">
        <v>4</v>
      </c>
      <c r="M28" s="426"/>
      <c r="N28" s="429" t="s">
        <v>5</v>
      </c>
      <c r="O28" s="429"/>
      <c r="P28" s="100">
        <v>10</v>
      </c>
      <c r="Q28" s="100" t="s">
        <v>370</v>
      </c>
      <c r="R28" s="4"/>
      <c r="S28" s="426">
        <v>4</v>
      </c>
      <c r="T28" s="426"/>
      <c r="U28" s="429" t="s">
        <v>5</v>
      </c>
      <c r="V28" s="429"/>
      <c r="W28" s="100">
        <v>4</v>
      </c>
      <c r="X28" s="100" t="s">
        <v>373</v>
      </c>
      <c r="Y28" s="4"/>
      <c r="Z28" s="5"/>
    </row>
    <row r="29" spans="3:26" ht="21" customHeight="1" thickBot="1">
      <c r="C29" s="3"/>
      <c r="D29" s="5"/>
      <c r="E29" s="427"/>
      <c r="F29" s="427"/>
      <c r="G29" s="424" t="s">
        <v>6</v>
      </c>
      <c r="H29" s="424"/>
      <c r="I29" s="34"/>
      <c r="J29" s="34"/>
      <c r="K29" s="4"/>
      <c r="L29" s="427"/>
      <c r="M29" s="427"/>
      <c r="N29" s="424" t="s">
        <v>6</v>
      </c>
      <c r="O29" s="424"/>
      <c r="P29" s="101"/>
      <c r="Q29" s="101"/>
      <c r="R29" s="4"/>
      <c r="S29" s="427"/>
      <c r="T29" s="427"/>
      <c r="U29" s="424" t="s">
        <v>6</v>
      </c>
      <c r="V29" s="424"/>
      <c r="W29" s="101"/>
      <c r="X29" s="101"/>
      <c r="Y29" s="4"/>
      <c r="Z29" s="5"/>
    </row>
    <row r="30" spans="3:26" ht="21" customHeight="1" thickBot="1">
      <c r="C30" s="3"/>
      <c r="D30" s="5"/>
      <c r="E30" s="427"/>
      <c r="F30" s="427"/>
      <c r="G30" s="424" t="s">
        <v>7</v>
      </c>
      <c r="H30" s="424"/>
      <c r="I30" s="34"/>
      <c r="J30" s="34"/>
      <c r="K30" s="4"/>
      <c r="L30" s="427"/>
      <c r="M30" s="427"/>
      <c r="N30" s="424" t="s">
        <v>7</v>
      </c>
      <c r="O30" s="424"/>
      <c r="P30" s="101"/>
      <c r="Q30" s="101"/>
      <c r="R30" s="4"/>
      <c r="S30" s="427"/>
      <c r="T30" s="427"/>
      <c r="U30" s="424" t="s">
        <v>7</v>
      </c>
      <c r="V30" s="424"/>
      <c r="W30" s="101"/>
      <c r="X30" s="101"/>
      <c r="Y30" s="4"/>
      <c r="Z30" s="5"/>
    </row>
    <row r="31" spans="3:26" ht="21" customHeight="1" thickBot="1">
      <c r="C31" s="3"/>
      <c r="D31" s="5"/>
      <c r="E31" s="428"/>
      <c r="F31" s="428"/>
      <c r="G31" s="425" t="s">
        <v>8</v>
      </c>
      <c r="H31" s="425"/>
      <c r="I31" s="35"/>
      <c r="J31" s="35"/>
      <c r="K31" s="4"/>
      <c r="L31" s="428"/>
      <c r="M31" s="428"/>
      <c r="N31" s="425" t="s">
        <v>8</v>
      </c>
      <c r="O31" s="425"/>
      <c r="P31" s="103"/>
      <c r="Q31" s="103"/>
      <c r="R31" s="4"/>
      <c r="S31" s="428"/>
      <c r="T31" s="428"/>
      <c r="U31" s="425" t="s">
        <v>8</v>
      </c>
      <c r="V31" s="425"/>
      <c r="W31" s="103"/>
      <c r="X31" s="103"/>
      <c r="Y31" s="4"/>
      <c r="Z31" s="5"/>
    </row>
    <row r="32" spans="3:26" ht="21" customHeight="1" thickTop="1" thickBot="1">
      <c r="C32" s="3"/>
      <c r="D32" s="5"/>
      <c r="E32" s="426">
        <v>5</v>
      </c>
      <c r="F32" s="426"/>
      <c r="G32" s="429" t="s">
        <v>5</v>
      </c>
      <c r="H32" s="429"/>
      <c r="I32" s="33"/>
      <c r="J32" s="33"/>
      <c r="K32" s="4"/>
      <c r="L32" s="426">
        <v>5</v>
      </c>
      <c r="M32" s="426"/>
      <c r="N32" s="429" t="s">
        <v>5</v>
      </c>
      <c r="O32" s="429"/>
      <c r="P32" s="100">
        <v>6</v>
      </c>
      <c r="Q32" s="100" t="s">
        <v>371</v>
      </c>
      <c r="R32" s="4"/>
      <c r="S32" s="426">
        <v>5</v>
      </c>
      <c r="T32" s="426"/>
      <c r="U32" s="429" t="s">
        <v>5</v>
      </c>
      <c r="V32" s="429"/>
      <c r="W32" s="100"/>
      <c r="X32" s="100"/>
      <c r="Y32" s="4"/>
      <c r="Z32" s="5"/>
    </row>
    <row r="33" spans="3:26" ht="21" customHeight="1" thickBot="1">
      <c r="C33" s="3"/>
      <c r="D33" s="5"/>
      <c r="E33" s="427"/>
      <c r="F33" s="427"/>
      <c r="G33" s="424" t="s">
        <v>6</v>
      </c>
      <c r="H33" s="424"/>
      <c r="I33" s="34"/>
      <c r="J33" s="34"/>
      <c r="K33" s="4"/>
      <c r="L33" s="427"/>
      <c r="M33" s="427"/>
      <c r="N33" s="424" t="s">
        <v>6</v>
      </c>
      <c r="O33" s="424"/>
      <c r="P33" s="101">
        <v>4</v>
      </c>
      <c r="Q33" s="101" t="s">
        <v>371</v>
      </c>
      <c r="R33" s="4"/>
      <c r="S33" s="427"/>
      <c r="T33" s="427"/>
      <c r="U33" s="424" t="s">
        <v>6</v>
      </c>
      <c r="V33" s="424"/>
      <c r="W33" s="101"/>
      <c r="X33" s="101"/>
      <c r="Y33" s="4"/>
      <c r="Z33" s="5"/>
    </row>
    <row r="34" spans="3:26" ht="21" customHeight="1" thickBot="1">
      <c r="C34" s="3"/>
      <c r="D34" s="5"/>
      <c r="E34" s="427"/>
      <c r="F34" s="427"/>
      <c r="G34" s="424" t="s">
        <v>7</v>
      </c>
      <c r="H34" s="424"/>
      <c r="I34" s="34"/>
      <c r="J34" s="34"/>
      <c r="K34" s="4"/>
      <c r="L34" s="427"/>
      <c r="M34" s="427"/>
      <c r="N34" s="424" t="s">
        <v>7</v>
      </c>
      <c r="O34" s="424"/>
      <c r="P34" s="101"/>
      <c r="Q34" s="101"/>
      <c r="R34" s="4"/>
      <c r="S34" s="427"/>
      <c r="T34" s="427"/>
      <c r="U34" s="424" t="s">
        <v>7</v>
      </c>
      <c r="V34" s="424"/>
      <c r="W34" s="101"/>
      <c r="X34" s="101"/>
      <c r="Y34" s="4"/>
      <c r="Z34" s="5"/>
    </row>
    <row r="35" spans="3:26" ht="21" customHeight="1" thickBot="1">
      <c r="C35" s="3"/>
      <c r="D35" s="5"/>
      <c r="E35" s="428"/>
      <c r="F35" s="428"/>
      <c r="G35" s="425" t="s">
        <v>8</v>
      </c>
      <c r="H35" s="425"/>
      <c r="I35" s="35"/>
      <c r="J35" s="35"/>
      <c r="K35" s="4"/>
      <c r="L35" s="428"/>
      <c r="M35" s="428"/>
      <c r="N35" s="425" t="s">
        <v>8</v>
      </c>
      <c r="O35" s="425"/>
      <c r="P35" s="103"/>
      <c r="Q35" s="103"/>
      <c r="R35" s="4"/>
      <c r="S35" s="428"/>
      <c r="T35" s="428"/>
      <c r="U35" s="425" t="s">
        <v>8</v>
      </c>
      <c r="V35" s="425"/>
      <c r="W35" s="103"/>
      <c r="X35" s="103"/>
      <c r="Y35" s="4"/>
      <c r="Z35" s="5"/>
    </row>
    <row r="36" spans="3:26" ht="21" customHeight="1" thickTop="1" thickBot="1">
      <c r="C36" s="3"/>
      <c r="D36" s="5"/>
      <c r="E36" s="426">
        <v>6</v>
      </c>
      <c r="F36" s="426"/>
      <c r="G36" s="429" t="s">
        <v>5</v>
      </c>
      <c r="H36" s="429"/>
      <c r="I36" s="33"/>
      <c r="J36" s="33"/>
      <c r="K36" s="4"/>
      <c r="L36" s="426">
        <v>6</v>
      </c>
      <c r="M36" s="426"/>
      <c r="N36" s="429" t="s">
        <v>5</v>
      </c>
      <c r="O36" s="429"/>
      <c r="P36" s="100"/>
      <c r="Q36" s="100"/>
      <c r="R36" s="4"/>
      <c r="S36" s="426">
        <v>6</v>
      </c>
      <c r="T36" s="426"/>
      <c r="U36" s="429" t="s">
        <v>5</v>
      </c>
      <c r="V36" s="429"/>
      <c r="W36" s="100"/>
      <c r="X36" s="100"/>
      <c r="Y36" s="4"/>
      <c r="Z36" s="5"/>
    </row>
    <row r="37" spans="3:26" ht="21" customHeight="1" thickBot="1">
      <c r="C37" s="3"/>
      <c r="D37" s="5"/>
      <c r="E37" s="427"/>
      <c r="F37" s="427"/>
      <c r="G37" s="424" t="s">
        <v>6</v>
      </c>
      <c r="H37" s="424"/>
      <c r="I37" s="34"/>
      <c r="J37" s="34"/>
      <c r="K37" s="4"/>
      <c r="L37" s="427"/>
      <c r="M37" s="427"/>
      <c r="N37" s="424" t="s">
        <v>6</v>
      </c>
      <c r="O37" s="424"/>
      <c r="P37" s="101"/>
      <c r="Q37" s="101"/>
      <c r="R37" s="4"/>
      <c r="S37" s="427"/>
      <c r="T37" s="427"/>
      <c r="U37" s="424" t="s">
        <v>6</v>
      </c>
      <c r="V37" s="424"/>
      <c r="W37" s="101"/>
      <c r="X37" s="101"/>
      <c r="Y37" s="4"/>
      <c r="Z37" s="5"/>
    </row>
    <row r="38" spans="3:26" ht="21" customHeight="1" thickBot="1">
      <c r="C38" s="3"/>
      <c r="D38" s="5"/>
      <c r="E38" s="427"/>
      <c r="F38" s="427"/>
      <c r="G38" s="424" t="s">
        <v>7</v>
      </c>
      <c r="H38" s="424"/>
      <c r="I38" s="34"/>
      <c r="J38" s="34"/>
      <c r="K38" s="4"/>
      <c r="L38" s="427"/>
      <c r="M38" s="427"/>
      <c r="N38" s="424" t="s">
        <v>7</v>
      </c>
      <c r="O38" s="424"/>
      <c r="P38" s="101"/>
      <c r="Q38" s="101"/>
      <c r="R38" s="4"/>
      <c r="S38" s="427"/>
      <c r="T38" s="427"/>
      <c r="U38" s="424" t="s">
        <v>7</v>
      </c>
      <c r="V38" s="424"/>
      <c r="W38" s="101"/>
      <c r="X38" s="101"/>
      <c r="Y38" s="4"/>
      <c r="Z38" s="5"/>
    </row>
    <row r="39" spans="3:26" ht="21" customHeight="1" thickBot="1">
      <c r="C39" s="3"/>
      <c r="D39" s="5"/>
      <c r="E39" s="428"/>
      <c r="F39" s="428"/>
      <c r="G39" s="425" t="s">
        <v>8</v>
      </c>
      <c r="H39" s="425"/>
      <c r="I39" s="35"/>
      <c r="J39" s="35"/>
      <c r="K39" s="4"/>
      <c r="L39" s="428"/>
      <c r="M39" s="428"/>
      <c r="N39" s="425" t="s">
        <v>8</v>
      </c>
      <c r="O39" s="425"/>
      <c r="P39" s="103"/>
      <c r="Q39" s="103"/>
      <c r="R39" s="4"/>
      <c r="S39" s="428"/>
      <c r="T39" s="428"/>
      <c r="U39" s="425" t="s">
        <v>8</v>
      </c>
      <c r="V39" s="425"/>
      <c r="W39" s="103"/>
      <c r="X39" s="103"/>
      <c r="Y39" s="4"/>
      <c r="Z39" s="5"/>
    </row>
    <row r="40" spans="3:26" ht="21" customHeight="1" thickTop="1" thickBot="1">
      <c r="C40" s="3"/>
      <c r="D40" s="5"/>
      <c r="E40" s="426">
        <v>7</v>
      </c>
      <c r="F40" s="426"/>
      <c r="G40" s="429" t="s">
        <v>5</v>
      </c>
      <c r="H40" s="429"/>
      <c r="I40" s="33"/>
      <c r="J40" s="33"/>
      <c r="K40" s="4"/>
      <c r="L40" s="426">
        <v>7</v>
      </c>
      <c r="M40" s="426"/>
      <c r="N40" s="429" t="s">
        <v>5</v>
      </c>
      <c r="O40" s="429"/>
      <c r="P40" s="100"/>
      <c r="Q40" s="100"/>
      <c r="R40" s="4"/>
      <c r="S40" s="426">
        <v>7</v>
      </c>
      <c r="T40" s="426"/>
      <c r="U40" s="429" t="s">
        <v>5</v>
      </c>
      <c r="V40" s="429"/>
      <c r="W40" s="100"/>
      <c r="X40" s="100"/>
      <c r="Y40" s="4"/>
      <c r="Z40" s="5"/>
    </row>
    <row r="41" spans="3:26" ht="21" customHeight="1" thickBot="1">
      <c r="C41" s="3"/>
      <c r="D41" s="5"/>
      <c r="E41" s="427"/>
      <c r="F41" s="427"/>
      <c r="G41" s="424" t="s">
        <v>6</v>
      </c>
      <c r="H41" s="424"/>
      <c r="I41" s="34"/>
      <c r="J41" s="34"/>
      <c r="K41" s="4"/>
      <c r="L41" s="427"/>
      <c r="M41" s="427"/>
      <c r="N41" s="424" t="s">
        <v>6</v>
      </c>
      <c r="O41" s="424"/>
      <c r="P41" s="101"/>
      <c r="Q41" s="101"/>
      <c r="R41" s="4"/>
      <c r="S41" s="427"/>
      <c r="T41" s="427"/>
      <c r="U41" s="424" t="s">
        <v>6</v>
      </c>
      <c r="V41" s="424"/>
      <c r="W41" s="101"/>
      <c r="X41" s="101"/>
      <c r="Y41" s="4"/>
      <c r="Z41" s="5"/>
    </row>
    <row r="42" spans="3:26" ht="21" customHeight="1" thickBot="1">
      <c r="C42" s="3"/>
      <c r="D42" s="5"/>
      <c r="E42" s="427"/>
      <c r="F42" s="427"/>
      <c r="G42" s="424" t="s">
        <v>7</v>
      </c>
      <c r="H42" s="424"/>
      <c r="I42" s="34"/>
      <c r="J42" s="34"/>
      <c r="K42" s="4"/>
      <c r="L42" s="427"/>
      <c r="M42" s="427"/>
      <c r="N42" s="424" t="s">
        <v>7</v>
      </c>
      <c r="O42" s="424"/>
      <c r="P42" s="101"/>
      <c r="Q42" s="101"/>
      <c r="R42" s="4"/>
      <c r="S42" s="427"/>
      <c r="T42" s="427"/>
      <c r="U42" s="424" t="s">
        <v>7</v>
      </c>
      <c r="V42" s="424"/>
      <c r="W42" s="101"/>
      <c r="X42" s="101"/>
      <c r="Y42" s="4"/>
      <c r="Z42" s="5"/>
    </row>
    <row r="43" spans="3:26" ht="21" customHeight="1" thickBot="1">
      <c r="C43" s="3"/>
      <c r="D43" s="5"/>
      <c r="E43" s="428"/>
      <c r="F43" s="428"/>
      <c r="G43" s="425" t="s">
        <v>8</v>
      </c>
      <c r="H43" s="425"/>
      <c r="I43" s="35"/>
      <c r="J43" s="35"/>
      <c r="K43" s="4"/>
      <c r="L43" s="428"/>
      <c r="M43" s="428"/>
      <c r="N43" s="425" t="s">
        <v>8</v>
      </c>
      <c r="O43" s="425"/>
      <c r="P43" s="103"/>
      <c r="Q43" s="103"/>
      <c r="R43" s="4"/>
      <c r="S43" s="428"/>
      <c r="T43" s="428"/>
      <c r="U43" s="425" t="s">
        <v>8</v>
      </c>
      <c r="V43" s="425"/>
      <c r="W43" s="103"/>
      <c r="X43" s="103"/>
      <c r="Y43" s="4"/>
      <c r="Z43" s="5"/>
    </row>
    <row r="44" spans="3:26" ht="21" customHeight="1" thickTop="1" thickBot="1">
      <c r="C44" s="3"/>
      <c r="D44" s="5"/>
      <c r="E44" s="426">
        <v>8</v>
      </c>
      <c r="F44" s="426"/>
      <c r="G44" s="429" t="s">
        <v>5</v>
      </c>
      <c r="H44" s="429"/>
      <c r="I44" s="33"/>
      <c r="J44" s="33"/>
      <c r="K44" s="4"/>
      <c r="L44" s="426">
        <v>8</v>
      </c>
      <c r="M44" s="426"/>
      <c r="N44" s="429" t="s">
        <v>5</v>
      </c>
      <c r="O44" s="429"/>
      <c r="P44" s="100"/>
      <c r="Q44" s="100"/>
      <c r="R44" s="4"/>
      <c r="S44" s="426">
        <v>8</v>
      </c>
      <c r="T44" s="426"/>
      <c r="U44" s="429" t="s">
        <v>5</v>
      </c>
      <c r="V44" s="429"/>
      <c r="W44" s="100"/>
      <c r="X44" s="100"/>
      <c r="Y44" s="4"/>
      <c r="Z44" s="5"/>
    </row>
    <row r="45" spans="3:26" ht="21" customHeight="1" thickBot="1">
      <c r="C45" s="3"/>
      <c r="D45" s="5"/>
      <c r="E45" s="427"/>
      <c r="F45" s="427"/>
      <c r="G45" s="424" t="s">
        <v>6</v>
      </c>
      <c r="H45" s="424"/>
      <c r="I45" s="34"/>
      <c r="J45" s="34"/>
      <c r="K45" s="4"/>
      <c r="L45" s="427"/>
      <c r="M45" s="427"/>
      <c r="N45" s="424" t="s">
        <v>6</v>
      </c>
      <c r="O45" s="424"/>
      <c r="P45" s="101"/>
      <c r="Q45" s="101"/>
      <c r="R45" s="4"/>
      <c r="S45" s="427"/>
      <c r="T45" s="427"/>
      <c r="U45" s="424" t="s">
        <v>6</v>
      </c>
      <c r="V45" s="424"/>
      <c r="W45" s="101"/>
      <c r="X45" s="101"/>
      <c r="Y45" s="4"/>
      <c r="Z45" s="5"/>
    </row>
    <row r="46" spans="3:26" ht="21" customHeight="1" thickBot="1">
      <c r="C46" s="3"/>
      <c r="D46" s="5"/>
      <c r="E46" s="427"/>
      <c r="F46" s="427"/>
      <c r="G46" s="424" t="s">
        <v>7</v>
      </c>
      <c r="H46" s="424"/>
      <c r="I46" s="34"/>
      <c r="J46" s="34"/>
      <c r="K46" s="4"/>
      <c r="L46" s="427"/>
      <c r="M46" s="427"/>
      <c r="N46" s="424" t="s">
        <v>7</v>
      </c>
      <c r="O46" s="424"/>
      <c r="P46" s="101"/>
      <c r="Q46" s="101"/>
      <c r="R46" s="4"/>
      <c r="S46" s="427"/>
      <c r="T46" s="427"/>
      <c r="U46" s="424" t="s">
        <v>7</v>
      </c>
      <c r="V46" s="424"/>
      <c r="W46" s="101"/>
      <c r="X46" s="101"/>
      <c r="Y46" s="4"/>
      <c r="Z46" s="5"/>
    </row>
    <row r="47" spans="3:26" ht="21" customHeight="1" thickBot="1">
      <c r="C47" s="3"/>
      <c r="D47" s="5"/>
      <c r="E47" s="428"/>
      <c r="F47" s="428"/>
      <c r="G47" s="425" t="s">
        <v>8</v>
      </c>
      <c r="H47" s="425"/>
      <c r="I47" s="35"/>
      <c r="J47" s="35"/>
      <c r="K47" s="4"/>
      <c r="L47" s="428"/>
      <c r="M47" s="428"/>
      <c r="N47" s="425" t="s">
        <v>8</v>
      </c>
      <c r="O47" s="425"/>
      <c r="P47" s="103"/>
      <c r="Q47" s="103"/>
      <c r="R47" s="4"/>
      <c r="S47" s="428"/>
      <c r="T47" s="428"/>
      <c r="U47" s="425" t="s">
        <v>8</v>
      </c>
      <c r="V47" s="425"/>
      <c r="W47" s="103"/>
      <c r="X47" s="103"/>
      <c r="Y47" s="4"/>
      <c r="Z47" s="5"/>
    </row>
    <row r="48" spans="3:26" ht="21" customHeight="1" thickTop="1" thickBot="1">
      <c r="C48" s="3"/>
      <c r="D48" s="5"/>
      <c r="E48" s="426">
        <v>9</v>
      </c>
      <c r="F48" s="426"/>
      <c r="G48" s="429" t="s">
        <v>5</v>
      </c>
      <c r="H48" s="429"/>
      <c r="I48" s="33"/>
      <c r="J48" s="33"/>
      <c r="K48" s="4"/>
      <c r="L48" s="426">
        <v>9</v>
      </c>
      <c r="M48" s="426"/>
      <c r="N48" s="429" t="s">
        <v>5</v>
      </c>
      <c r="O48" s="429"/>
      <c r="P48" s="100"/>
      <c r="Q48" s="100"/>
      <c r="R48" s="4"/>
      <c r="S48" s="426">
        <v>9</v>
      </c>
      <c r="T48" s="426"/>
      <c r="U48" s="429" t="s">
        <v>5</v>
      </c>
      <c r="V48" s="429"/>
      <c r="W48" s="100"/>
      <c r="X48" s="100"/>
      <c r="Y48" s="4"/>
      <c r="Z48" s="5"/>
    </row>
    <row r="49" spans="3:26" ht="21" customHeight="1" thickBot="1">
      <c r="C49" s="3"/>
      <c r="D49" s="5"/>
      <c r="E49" s="427"/>
      <c r="F49" s="427"/>
      <c r="G49" s="424" t="s">
        <v>6</v>
      </c>
      <c r="H49" s="424"/>
      <c r="I49" s="34"/>
      <c r="J49" s="34"/>
      <c r="K49" s="4"/>
      <c r="L49" s="427"/>
      <c r="M49" s="427"/>
      <c r="N49" s="424" t="s">
        <v>6</v>
      </c>
      <c r="O49" s="424"/>
      <c r="P49" s="101"/>
      <c r="Q49" s="101"/>
      <c r="R49" s="4"/>
      <c r="S49" s="427"/>
      <c r="T49" s="427"/>
      <c r="U49" s="424" t="s">
        <v>6</v>
      </c>
      <c r="V49" s="424"/>
      <c r="W49" s="101"/>
      <c r="X49" s="101"/>
      <c r="Y49" s="4"/>
      <c r="Z49" s="5"/>
    </row>
    <row r="50" spans="3:26" ht="21" customHeight="1" thickBot="1">
      <c r="C50" s="3"/>
      <c r="D50" s="5"/>
      <c r="E50" s="427"/>
      <c r="F50" s="427"/>
      <c r="G50" s="424" t="s">
        <v>7</v>
      </c>
      <c r="H50" s="424"/>
      <c r="I50" s="34"/>
      <c r="J50" s="34"/>
      <c r="K50" s="4"/>
      <c r="L50" s="427"/>
      <c r="M50" s="427"/>
      <c r="N50" s="424" t="s">
        <v>7</v>
      </c>
      <c r="O50" s="424"/>
      <c r="P50" s="101"/>
      <c r="Q50" s="101"/>
      <c r="R50" s="4"/>
      <c r="S50" s="427"/>
      <c r="T50" s="427"/>
      <c r="U50" s="424" t="s">
        <v>7</v>
      </c>
      <c r="V50" s="424"/>
      <c r="W50" s="101"/>
      <c r="X50" s="101"/>
      <c r="Y50" s="4"/>
      <c r="Z50" s="5"/>
    </row>
    <row r="51" spans="3:26" ht="21" customHeight="1" thickBot="1">
      <c r="C51" s="3"/>
      <c r="D51" s="5"/>
      <c r="E51" s="428"/>
      <c r="F51" s="428"/>
      <c r="G51" s="425" t="s">
        <v>8</v>
      </c>
      <c r="H51" s="425"/>
      <c r="I51" s="35"/>
      <c r="J51" s="35"/>
      <c r="K51" s="4"/>
      <c r="L51" s="428"/>
      <c r="M51" s="428"/>
      <c r="N51" s="425" t="s">
        <v>8</v>
      </c>
      <c r="O51" s="425"/>
      <c r="P51" s="103"/>
      <c r="Q51" s="103"/>
      <c r="R51" s="4"/>
      <c r="S51" s="428"/>
      <c r="T51" s="428"/>
      <c r="U51" s="425" t="s">
        <v>8</v>
      </c>
      <c r="V51" s="425"/>
      <c r="W51" s="103"/>
      <c r="X51" s="103"/>
      <c r="Y51" s="4"/>
      <c r="Z51" s="5"/>
    </row>
    <row r="52" spans="3:26" ht="21" customHeight="1" thickTop="1" thickBot="1">
      <c r="C52" s="3"/>
      <c r="D52" s="5"/>
      <c r="E52" s="426">
        <v>10</v>
      </c>
      <c r="F52" s="426"/>
      <c r="G52" s="429" t="s">
        <v>5</v>
      </c>
      <c r="H52" s="429"/>
      <c r="I52" s="33"/>
      <c r="J52" s="33"/>
      <c r="K52" s="4"/>
      <c r="L52" s="426">
        <v>10</v>
      </c>
      <c r="M52" s="426"/>
      <c r="N52" s="429" t="s">
        <v>5</v>
      </c>
      <c r="O52" s="429"/>
      <c r="P52" s="100"/>
      <c r="Q52" s="100"/>
      <c r="R52" s="4"/>
      <c r="S52" s="426">
        <v>10</v>
      </c>
      <c r="T52" s="426"/>
      <c r="U52" s="429" t="s">
        <v>5</v>
      </c>
      <c r="V52" s="429"/>
      <c r="W52" s="100"/>
      <c r="X52" s="100"/>
      <c r="Y52" s="4"/>
      <c r="Z52" s="5"/>
    </row>
    <row r="53" spans="3:26" ht="21" customHeight="1" thickBot="1">
      <c r="C53" s="3"/>
      <c r="D53" s="5"/>
      <c r="E53" s="427"/>
      <c r="F53" s="427"/>
      <c r="G53" s="424" t="s">
        <v>6</v>
      </c>
      <c r="H53" s="424"/>
      <c r="I53" s="34"/>
      <c r="J53" s="34"/>
      <c r="K53" s="4"/>
      <c r="L53" s="427"/>
      <c r="M53" s="427"/>
      <c r="N53" s="424" t="s">
        <v>6</v>
      </c>
      <c r="O53" s="424"/>
      <c r="P53" s="101"/>
      <c r="Q53" s="101"/>
      <c r="R53" s="4"/>
      <c r="S53" s="427"/>
      <c r="T53" s="427"/>
      <c r="U53" s="424" t="s">
        <v>6</v>
      </c>
      <c r="V53" s="424"/>
      <c r="W53" s="101"/>
      <c r="X53" s="101"/>
      <c r="Y53" s="4"/>
      <c r="Z53" s="5"/>
    </row>
    <row r="54" spans="3:26" ht="21" customHeight="1" thickBot="1">
      <c r="C54" s="3"/>
      <c r="D54" s="5"/>
      <c r="E54" s="427"/>
      <c r="F54" s="427"/>
      <c r="G54" s="424" t="s">
        <v>7</v>
      </c>
      <c r="H54" s="424"/>
      <c r="I54" s="34"/>
      <c r="J54" s="34"/>
      <c r="K54" s="4"/>
      <c r="L54" s="427"/>
      <c r="M54" s="427"/>
      <c r="N54" s="424" t="s">
        <v>7</v>
      </c>
      <c r="O54" s="424"/>
      <c r="P54" s="101"/>
      <c r="Q54" s="101"/>
      <c r="R54" s="4"/>
      <c r="S54" s="427"/>
      <c r="T54" s="427"/>
      <c r="U54" s="424" t="s">
        <v>7</v>
      </c>
      <c r="V54" s="424"/>
      <c r="W54" s="101"/>
      <c r="X54" s="101"/>
      <c r="Y54" s="4"/>
      <c r="Z54" s="5"/>
    </row>
    <row r="55" spans="3:26" ht="21" customHeight="1" thickBot="1">
      <c r="C55" s="3"/>
      <c r="D55" s="5"/>
      <c r="E55" s="428"/>
      <c r="F55" s="428"/>
      <c r="G55" s="425" t="s">
        <v>8</v>
      </c>
      <c r="H55" s="425"/>
      <c r="I55" s="35"/>
      <c r="J55" s="35"/>
      <c r="K55" s="4"/>
      <c r="L55" s="428"/>
      <c r="M55" s="428"/>
      <c r="N55" s="425" t="s">
        <v>8</v>
      </c>
      <c r="O55" s="425"/>
      <c r="P55" s="103"/>
      <c r="Q55" s="103"/>
      <c r="R55" s="4"/>
      <c r="S55" s="428"/>
      <c r="T55" s="428"/>
      <c r="U55" s="425" t="s">
        <v>8</v>
      </c>
      <c r="V55" s="425"/>
      <c r="W55" s="103"/>
      <c r="X55" s="103"/>
      <c r="Y55" s="4"/>
      <c r="Z55" s="5"/>
    </row>
    <row r="56" spans="3:26" ht="16.5" thickTop="1" thickBot="1"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8"/>
    </row>
    <row r="57" spans="3:26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3:26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3:26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3:26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</sheetData>
  <mergeCells count="172">
    <mergeCell ref="N54:O54"/>
    <mergeCell ref="U54:V54"/>
    <mergeCell ref="G55:H55"/>
    <mergeCell ref="N55:O55"/>
    <mergeCell ref="U55:V55"/>
    <mergeCell ref="E52:F55"/>
    <mergeCell ref="G52:H52"/>
    <mergeCell ref="L52:M55"/>
    <mergeCell ref="N52:O52"/>
    <mergeCell ref="S52:T55"/>
    <mergeCell ref="U52:V52"/>
    <mergeCell ref="G53:H53"/>
    <mergeCell ref="N53:O53"/>
    <mergeCell ref="U53:V53"/>
    <mergeCell ref="G54:H54"/>
    <mergeCell ref="E48:F51"/>
    <mergeCell ref="G48:H48"/>
    <mergeCell ref="L48:M51"/>
    <mergeCell ref="N48:O48"/>
    <mergeCell ref="S48:T51"/>
    <mergeCell ref="U48:V48"/>
    <mergeCell ref="G49:H49"/>
    <mergeCell ref="U44:V44"/>
    <mergeCell ref="G45:H45"/>
    <mergeCell ref="N45:O45"/>
    <mergeCell ref="U45:V45"/>
    <mergeCell ref="G46:H46"/>
    <mergeCell ref="N46:O46"/>
    <mergeCell ref="U46:V46"/>
    <mergeCell ref="N49:O49"/>
    <mergeCell ref="U49:V49"/>
    <mergeCell ref="G50:H50"/>
    <mergeCell ref="N50:O50"/>
    <mergeCell ref="U50:V50"/>
    <mergeCell ref="G51:H51"/>
    <mergeCell ref="N51:O51"/>
    <mergeCell ref="U51:V51"/>
    <mergeCell ref="G47:H47"/>
    <mergeCell ref="N47:O47"/>
    <mergeCell ref="N42:O42"/>
    <mergeCell ref="U42:V42"/>
    <mergeCell ref="G43:H43"/>
    <mergeCell ref="N43:O43"/>
    <mergeCell ref="U43:V43"/>
    <mergeCell ref="E44:F47"/>
    <mergeCell ref="G44:H44"/>
    <mergeCell ref="L44:M47"/>
    <mergeCell ref="N44:O44"/>
    <mergeCell ref="S44:T47"/>
    <mergeCell ref="E40:F43"/>
    <mergeCell ref="G40:H40"/>
    <mergeCell ref="L40:M43"/>
    <mergeCell ref="N40:O40"/>
    <mergeCell ref="S40:T43"/>
    <mergeCell ref="U40:V40"/>
    <mergeCell ref="G41:H41"/>
    <mergeCell ref="N41:O41"/>
    <mergeCell ref="U41:V41"/>
    <mergeCell ref="G42:H42"/>
    <mergeCell ref="U47:V47"/>
    <mergeCell ref="E36:F39"/>
    <mergeCell ref="G36:H36"/>
    <mergeCell ref="L36:M39"/>
    <mergeCell ref="N36:O36"/>
    <mergeCell ref="S36:T39"/>
    <mergeCell ref="U36:V36"/>
    <mergeCell ref="G37:H37"/>
    <mergeCell ref="U32:V32"/>
    <mergeCell ref="G33:H33"/>
    <mergeCell ref="N33:O33"/>
    <mergeCell ref="U33:V33"/>
    <mergeCell ref="G34:H34"/>
    <mergeCell ref="N34:O34"/>
    <mergeCell ref="U34:V34"/>
    <mergeCell ref="N37:O37"/>
    <mergeCell ref="U37:V37"/>
    <mergeCell ref="G38:H38"/>
    <mergeCell ref="N38:O38"/>
    <mergeCell ref="U38:V38"/>
    <mergeCell ref="G39:H39"/>
    <mergeCell ref="N39:O39"/>
    <mergeCell ref="U39:V39"/>
    <mergeCell ref="G35:H35"/>
    <mergeCell ref="N35:O35"/>
    <mergeCell ref="N30:O30"/>
    <mergeCell ref="U30:V30"/>
    <mergeCell ref="G31:H31"/>
    <mergeCell ref="N31:O31"/>
    <mergeCell ref="U31:V31"/>
    <mergeCell ref="E32:F35"/>
    <mergeCell ref="G32:H32"/>
    <mergeCell ref="L32:M35"/>
    <mergeCell ref="N32:O32"/>
    <mergeCell ref="S32:T35"/>
    <mergeCell ref="E28:F31"/>
    <mergeCell ref="G28:H28"/>
    <mergeCell ref="L28:M31"/>
    <mergeCell ref="N28:O28"/>
    <mergeCell ref="S28:T31"/>
    <mergeCell ref="U28:V28"/>
    <mergeCell ref="G29:H29"/>
    <mergeCell ref="N29:O29"/>
    <mergeCell ref="U29:V29"/>
    <mergeCell ref="G30:H30"/>
    <mergeCell ref="U35:V35"/>
    <mergeCell ref="E24:F27"/>
    <mergeCell ref="G24:H24"/>
    <mergeCell ref="L24:M27"/>
    <mergeCell ref="N24:O24"/>
    <mergeCell ref="S24:T27"/>
    <mergeCell ref="U24:V24"/>
    <mergeCell ref="G25:H25"/>
    <mergeCell ref="U20:V20"/>
    <mergeCell ref="G21:H21"/>
    <mergeCell ref="N21:O21"/>
    <mergeCell ref="U21:V21"/>
    <mergeCell ref="G22:H22"/>
    <mergeCell ref="N22:O22"/>
    <mergeCell ref="U22:V22"/>
    <mergeCell ref="N25:O25"/>
    <mergeCell ref="U25:V25"/>
    <mergeCell ref="G26:H26"/>
    <mergeCell ref="N26:O26"/>
    <mergeCell ref="U26:V26"/>
    <mergeCell ref="G27:H27"/>
    <mergeCell ref="N27:O27"/>
    <mergeCell ref="U27:V27"/>
    <mergeCell ref="G23:H23"/>
    <mergeCell ref="N23:O23"/>
    <mergeCell ref="N18:O18"/>
    <mergeCell ref="U18:V18"/>
    <mergeCell ref="G19:H19"/>
    <mergeCell ref="N19:O19"/>
    <mergeCell ref="U19:V19"/>
    <mergeCell ref="E20:F23"/>
    <mergeCell ref="G20:H20"/>
    <mergeCell ref="L20:M23"/>
    <mergeCell ref="N20:O20"/>
    <mergeCell ref="S20:T23"/>
    <mergeCell ref="E16:F19"/>
    <mergeCell ref="G16:H16"/>
    <mergeCell ref="L16:M19"/>
    <mergeCell ref="N16:O16"/>
    <mergeCell ref="S16:T19"/>
    <mergeCell ref="U16:V16"/>
    <mergeCell ref="G17:H17"/>
    <mergeCell ref="N17:O17"/>
    <mergeCell ref="U17:V17"/>
    <mergeCell ref="G18:H18"/>
    <mergeCell ref="U23:V23"/>
    <mergeCell ref="E14:J14"/>
    <mergeCell ref="L14:Q14"/>
    <mergeCell ref="S14:X14"/>
    <mergeCell ref="E15:F15"/>
    <mergeCell ref="G15:H15"/>
    <mergeCell ref="L15:M15"/>
    <mergeCell ref="N15:O15"/>
    <mergeCell ref="S15:T15"/>
    <mergeCell ref="U15:V15"/>
    <mergeCell ref="E8:H8"/>
    <mergeCell ref="K8:L8"/>
    <mergeCell ref="M8:R8"/>
    <mergeCell ref="E10:G10"/>
    <mergeCell ref="H10:R10"/>
    <mergeCell ref="E12:X12"/>
    <mergeCell ref="C3:Z4"/>
    <mergeCell ref="E6:H6"/>
    <mergeCell ref="K6:L6"/>
    <mergeCell ref="M6:P6"/>
    <mergeCell ref="E7:H7"/>
    <mergeCell ref="K7:L7"/>
    <mergeCell ref="M7:R7"/>
  </mergeCells>
  <dataValidations count="52">
    <dataValidation type="list" allowBlank="1" showInputMessage="1" showErrorMessage="1" sqref="X37">
      <formula1>AM3:AM6</formula1>
    </dataValidation>
    <dataValidation type="list" allowBlank="1" showInputMessage="1" showErrorMessage="1" sqref="X29">
      <formula1>AM3:AM6</formula1>
    </dataValidation>
    <dataValidation type="list" allowBlank="1" showInputMessage="1" showErrorMessage="1" sqref="X25">
      <formula1>AM3:AM6</formula1>
    </dataValidation>
    <dataValidation type="decimal" allowBlank="1" showInputMessage="1" showErrorMessage="1" sqref="P16:P55">
      <formula1>0</formula1>
      <formula2>12.5</formula2>
    </dataValidation>
    <dataValidation type="decimal" allowBlank="1" showInputMessage="1" showErrorMessage="1" sqref="I16:I55 W16:W55">
      <formula1>0</formula1>
      <formula2>50</formula2>
    </dataValidation>
    <dataValidation type="list" allowBlank="1" showInputMessage="1" showErrorMessage="1" sqref="J41">
      <formula1>AM3:AM6</formula1>
    </dataValidation>
    <dataValidation type="list" allowBlank="1" showInputMessage="1" showErrorMessage="1" sqref="Q37">
      <formula1>AM3:AM6</formula1>
    </dataValidation>
    <dataValidation type="list" allowBlank="1" showInputMessage="1" showErrorMessage="1" sqref="Q46">
      <formula1>AM3:AM6</formula1>
    </dataValidation>
    <dataValidation type="list" allowBlank="1" showInputMessage="1" showErrorMessage="1" sqref="Q45">
      <formula1>AM3:AM6</formula1>
    </dataValidation>
    <dataValidation type="list" allowBlank="1" showInputMessage="1" showErrorMessage="1" sqref="Q29">
      <formula1>AM3:AM6</formula1>
    </dataValidation>
    <dataValidation type="list" allowBlank="1" showInputMessage="1" showErrorMessage="1" sqref="Q21">
      <formula1>AM3:AM6</formula1>
    </dataValidation>
    <dataValidation type="list" allowBlank="1" showInputMessage="1" showErrorMessage="1" sqref="J17">
      <formula1>AM3:AM6</formula1>
    </dataValidation>
    <dataValidation type="list" allowBlank="1" showInputMessage="1" showErrorMessage="1" sqref="Q25">
      <formula1>AM3:AM6</formula1>
    </dataValidation>
    <dataValidation type="list" allowBlank="1" showInputMessage="1" showErrorMessage="1" sqref="J25">
      <formula1>AM3:AM6</formula1>
    </dataValidation>
    <dataValidation allowBlank="1" showInputMessage="1" showErrorMessage="1" sqref="J45 X10 J33 Q18:Q19 J39 X6 J49 J22 J51 J19 J18 X26"/>
    <dataValidation type="custom" allowBlank="1" showInputMessage="1" showErrorMessage="1" sqref="AC12">
      <formula1>AC9</formula1>
    </dataValidation>
    <dataValidation type="list" allowBlank="1" showInputMessage="1" showErrorMessage="1" sqref="J21">
      <formula1>AM3:AM7</formula1>
    </dataValidation>
    <dataValidation type="list" allowBlank="1" showInputMessage="1" showErrorMessage="1" sqref="J28">
      <formula1>AM3:AM7</formula1>
    </dataValidation>
    <dataValidation type="list" allowBlank="1" showInputMessage="1" showErrorMessage="1" sqref="J29">
      <formula1>AM3:AM7</formula1>
    </dataValidation>
    <dataValidation type="list" allowBlank="1" showInputMessage="1" showErrorMessage="1" sqref="J32">
      <formula1>AM3:AM7</formula1>
    </dataValidation>
    <dataValidation type="list" allowBlank="1" showInputMessage="1" showErrorMessage="1" sqref="J36">
      <formula1>AM3:AM7</formula1>
    </dataValidation>
    <dataValidation type="list" allowBlank="1" showInputMessage="1" showErrorMessage="1" sqref="J37">
      <formula1>AM3:AM7</formula1>
    </dataValidation>
    <dataValidation type="list" allowBlank="1" showInputMessage="1" showErrorMessage="1" sqref="J40">
      <formula1>AM3:AM7</formula1>
    </dataValidation>
    <dataValidation type="list" allowBlank="1" showInputMessage="1" showErrorMessage="1" sqref="J44">
      <formula1>AM3:AM7</formula1>
    </dataValidation>
    <dataValidation type="list" allowBlank="1" showInputMessage="1" showErrorMessage="1" sqref="J48">
      <formula1>AM3:AM7</formula1>
    </dataValidation>
    <dataValidation type="list" allowBlank="1" showInputMessage="1" showErrorMessage="1" sqref="J52">
      <formula1>AM3:AM7</formula1>
    </dataValidation>
    <dataValidation type="list" allowBlank="1" showInputMessage="1" showErrorMessage="1" sqref="Q52">
      <formula1>AM3:AM7</formula1>
    </dataValidation>
    <dataValidation type="list" allowBlank="1" showInputMessage="1" showErrorMessage="1" sqref="Q48">
      <formula1>AM3:AM7</formula1>
    </dataValidation>
    <dataValidation type="list" allowBlank="1" showInputMessage="1" showErrorMessage="1" sqref="Q44">
      <formula1>AM3:AM7</formula1>
    </dataValidation>
    <dataValidation type="list" allowBlank="1" showInputMessage="1" showErrorMessage="1" sqref="Q40">
      <formula1>AM3:AM7</formula1>
    </dataValidation>
    <dataValidation type="list" allowBlank="1" showInputMessage="1" showErrorMessage="1" sqref="Q36">
      <formula1>AM3:AM7</formula1>
    </dataValidation>
    <dataValidation type="list" allowBlank="1" showInputMessage="1" showErrorMessage="1" sqref="Q32">
      <formula1>AM3:AM7</formula1>
    </dataValidation>
    <dataValidation type="list" allowBlank="1" showInputMessage="1" showErrorMessage="1" sqref="Q28">
      <formula1>AM3:AM7</formula1>
    </dataValidation>
    <dataValidation type="list" allowBlank="1" showInputMessage="1" showErrorMessage="1" sqref="Q24">
      <formula1>AM3:AM7</formula1>
    </dataValidation>
    <dataValidation type="list" allowBlank="1" showInputMessage="1" showErrorMessage="1" sqref="Q20">
      <formula1>AM3:AM7</formula1>
    </dataValidation>
    <dataValidation type="list" allowBlank="1" showInputMessage="1" showErrorMessage="1" sqref="Q16">
      <formula1>AM3:AM7</formula1>
    </dataValidation>
    <dataValidation type="list" allowBlank="1" showInputMessage="1" showErrorMessage="1" sqref="X16">
      <formula1>AM3:AM7</formula1>
    </dataValidation>
    <dataValidation type="list" allowBlank="1" showInputMessage="1" showErrorMessage="1" sqref="X17">
      <formula1>AM3:AM7</formula1>
    </dataValidation>
    <dataValidation type="list" allowBlank="1" showInputMessage="1" showErrorMessage="1" sqref="X20">
      <formula1>AM3:AM7</formula1>
    </dataValidation>
    <dataValidation type="list" allowBlank="1" showInputMessage="1" showErrorMessage="1" sqref="X24">
      <formula1>AM3:AM7</formula1>
    </dataValidation>
    <dataValidation type="list" allowBlank="1" showInputMessage="1" showErrorMessage="1" sqref="X28">
      <formula1>AM3:AM7</formula1>
    </dataValidation>
    <dataValidation type="list" allowBlank="1" showInputMessage="1" showErrorMessage="1" sqref="X32">
      <formula1>AM3:AM7</formula1>
    </dataValidation>
    <dataValidation type="list" allowBlank="1" showInputMessage="1" showErrorMessage="1" sqref="X36">
      <formula1>AM3:AM7</formula1>
    </dataValidation>
    <dataValidation type="list" allowBlank="1" showInputMessage="1" showErrorMessage="1" sqref="X40">
      <formula1>AM3:AM7</formula1>
    </dataValidation>
    <dataValidation type="list" allowBlank="1" showInputMessage="1" showErrorMessage="1" sqref="X44">
      <formula1>AM3:AM7</formula1>
    </dataValidation>
    <dataValidation type="list" allowBlank="1" showInputMessage="1" showErrorMessage="1" sqref="X48">
      <formula1>AM3:AM7</formula1>
    </dataValidation>
    <dataValidation type="list" allowBlank="1" showInputMessage="1" showErrorMessage="1" sqref="X52">
      <formula1>AM3:AM7</formula1>
    </dataValidation>
    <dataValidation type="list" allowBlank="1" showInputMessage="1" showErrorMessage="1" sqref="J16">
      <formula1>AM3:AM7</formula1>
    </dataValidation>
    <dataValidation type="list" allowBlank="1" showInputMessage="1" showErrorMessage="1" sqref="J20">
      <formula1>AM3:AM7</formula1>
    </dataValidation>
    <dataValidation type="list" allowBlank="1" showInputMessage="1" showErrorMessage="1" sqref="J24">
      <formula1>AM3:AM7</formula1>
    </dataValidation>
    <dataValidation type="list" allowBlank="1" showInputMessage="1" showErrorMessage="1" sqref="Q17">
      <formula1>AM3:AM7</formula1>
    </dataValidation>
    <dataValidation type="list" allowBlank="1" showInputMessage="1" showErrorMessage="1" sqref="Q33">
      <formula1>AM3:AM7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Z107"/>
  <sheetViews>
    <sheetView tabSelected="1" zoomScale="85" zoomScaleNormal="85" workbookViewId="0">
      <pane ySplit="14" topLeftCell="A74" activePane="bottomLeft" state="frozen"/>
      <selection pane="bottomLeft" activeCell="M76" sqref="M76"/>
    </sheetView>
  </sheetViews>
  <sheetFormatPr defaultColWidth="18.28515625" defaultRowHeight="15"/>
  <cols>
    <col min="1" max="1" width="7.5703125" style="72" customWidth="1"/>
    <col min="2" max="2" width="7.7109375" style="61" customWidth="1"/>
    <col min="3" max="3" width="13.7109375" style="72" customWidth="1"/>
    <col min="4" max="4" width="35.7109375" style="72" customWidth="1"/>
    <col min="5" max="6" width="8.28515625" style="72" customWidth="1"/>
    <col min="7" max="8" width="8.28515625" style="61" customWidth="1"/>
    <col min="9" max="9" width="7.7109375" style="72" customWidth="1"/>
    <col min="10" max="10" width="7.7109375" style="61" customWidth="1"/>
    <col min="11" max="11" width="13.7109375" style="72" customWidth="1"/>
    <col min="12" max="12" width="35.7109375" style="72" customWidth="1"/>
    <col min="13" max="13" width="10.7109375" style="61" customWidth="1"/>
    <col min="14" max="14" width="10.7109375" style="72" customWidth="1"/>
    <col min="15" max="16" width="10.7109375" style="61" customWidth="1"/>
    <col min="17" max="17" width="10.7109375" style="72" customWidth="1"/>
    <col min="18" max="19" width="10.7109375" style="61" customWidth="1"/>
    <col min="20" max="52" width="20.7109375" style="72" customWidth="1"/>
    <col min="53" max="16384" width="18.28515625" style="75"/>
  </cols>
  <sheetData>
    <row r="1" spans="1:32" s="62" customFormat="1" ht="20.100000000000001" customHeight="1">
      <c r="A1" s="438" t="s">
        <v>191</v>
      </c>
      <c r="B1" s="439"/>
      <c r="C1" s="439"/>
      <c r="D1" s="439"/>
      <c r="E1" s="439"/>
      <c r="F1" s="439"/>
      <c r="G1" s="439"/>
      <c r="H1" s="439"/>
      <c r="I1" s="445" t="s">
        <v>191</v>
      </c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267"/>
      <c r="U1" s="267"/>
      <c r="V1" s="267"/>
      <c r="W1" s="267"/>
      <c r="X1" s="267"/>
      <c r="Y1" s="267"/>
      <c r="Z1" s="267"/>
      <c r="AA1" s="267"/>
      <c r="AB1" s="267"/>
    </row>
    <row r="2" spans="1:32" s="62" customFormat="1" ht="20.100000000000001" customHeight="1">
      <c r="A2" s="438" t="s">
        <v>192</v>
      </c>
      <c r="B2" s="439"/>
      <c r="C2" s="439"/>
      <c r="D2" s="439"/>
      <c r="E2" s="439"/>
      <c r="F2" s="439"/>
      <c r="G2" s="439"/>
      <c r="H2" s="439"/>
      <c r="I2" s="445" t="s">
        <v>192</v>
      </c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267"/>
      <c r="U2" s="267"/>
      <c r="V2" s="267"/>
      <c r="W2" s="267"/>
      <c r="X2" s="267"/>
      <c r="Y2" s="267"/>
      <c r="Z2" s="267"/>
      <c r="AA2" s="267"/>
      <c r="AB2" s="267"/>
    </row>
    <row r="3" spans="1:32" s="62" customFormat="1" ht="20.100000000000001" customHeight="1">
      <c r="A3" s="270"/>
      <c r="B3" s="60"/>
      <c r="C3" s="267"/>
      <c r="D3" s="267"/>
      <c r="E3" s="267"/>
      <c r="F3" s="267"/>
      <c r="G3" s="60"/>
      <c r="H3" s="60"/>
      <c r="I3" s="267"/>
      <c r="J3" s="60"/>
      <c r="K3" s="267"/>
      <c r="L3" s="267"/>
      <c r="M3" s="60"/>
      <c r="N3" s="267"/>
      <c r="O3" s="60"/>
      <c r="P3" s="60"/>
      <c r="R3" s="61"/>
      <c r="S3" s="61"/>
    </row>
    <row r="4" spans="1:32" s="62" customFormat="1" ht="20.100000000000001" customHeight="1">
      <c r="B4" s="61"/>
      <c r="D4" s="61"/>
      <c r="F4" s="61"/>
      <c r="G4" s="61"/>
      <c r="H4" s="61"/>
      <c r="J4" s="61"/>
      <c r="L4" s="61"/>
      <c r="M4" s="61"/>
      <c r="N4" s="61"/>
      <c r="O4" s="61"/>
      <c r="P4" s="61"/>
      <c r="R4" s="61"/>
      <c r="S4" s="61"/>
      <c r="T4" s="61"/>
      <c r="V4" s="61"/>
      <c r="X4" s="61"/>
      <c r="Z4" s="61"/>
      <c r="AB4" s="61"/>
      <c r="AD4" s="61"/>
      <c r="AF4" s="61"/>
    </row>
    <row r="5" spans="1:32" s="62" customFormat="1" ht="20.100000000000001" customHeight="1">
      <c r="B5" s="61"/>
      <c r="D5" s="61"/>
      <c r="F5" s="61"/>
      <c r="G5" s="61"/>
      <c r="H5" s="61"/>
      <c r="J5" s="61"/>
      <c r="L5" s="61"/>
      <c r="M5" s="61"/>
      <c r="N5" s="61"/>
      <c r="O5" s="61"/>
      <c r="P5" s="61"/>
      <c r="R5" s="61"/>
      <c r="S5" s="61"/>
      <c r="T5" s="61"/>
    </row>
    <row r="6" spans="1:32" s="62" customFormat="1" ht="20.100000000000001" customHeight="1">
      <c r="B6" s="61"/>
      <c r="G6" s="61"/>
      <c r="H6" s="61"/>
      <c r="J6" s="61"/>
      <c r="M6" s="61"/>
      <c r="O6" s="61"/>
      <c r="P6" s="61"/>
      <c r="R6" s="61"/>
      <c r="S6" s="61"/>
    </row>
    <row r="7" spans="1:32" s="62" customFormat="1" ht="20.100000000000001" customHeight="1">
      <c r="B7" s="442" t="s">
        <v>374</v>
      </c>
      <c r="C7" s="443"/>
      <c r="D7" s="443"/>
      <c r="G7" s="262"/>
      <c r="H7" s="261"/>
      <c r="I7" s="261"/>
      <c r="J7" s="444" t="s">
        <v>374</v>
      </c>
      <c r="K7" s="443"/>
      <c r="L7" s="443"/>
      <c r="M7" s="261"/>
      <c r="N7" s="261"/>
      <c r="O7" s="261"/>
      <c r="P7" s="261"/>
      <c r="Q7" s="261"/>
      <c r="R7" s="261"/>
      <c r="S7" s="261"/>
      <c r="T7" s="261"/>
      <c r="U7" s="261"/>
    </row>
    <row r="8" spans="1:32" s="62" customFormat="1" ht="20.100000000000001" customHeight="1">
      <c r="A8" s="63"/>
      <c r="B8" s="444" t="s">
        <v>194</v>
      </c>
      <c r="C8" s="443"/>
      <c r="D8" s="443"/>
      <c r="E8" s="443"/>
      <c r="F8" s="443"/>
      <c r="G8" s="443"/>
      <c r="H8" s="443"/>
      <c r="I8" s="261"/>
      <c r="J8" s="447" t="s">
        <v>194</v>
      </c>
      <c r="K8" s="448"/>
      <c r="L8" s="448"/>
      <c r="M8" s="261"/>
      <c r="N8" s="444" t="s">
        <v>206</v>
      </c>
      <c r="O8" s="443"/>
      <c r="P8" s="443"/>
      <c r="Q8" s="261"/>
      <c r="R8" s="261"/>
      <c r="S8" s="261"/>
      <c r="T8" s="261"/>
      <c r="U8" s="261"/>
      <c r="V8" s="261"/>
      <c r="W8" s="261"/>
      <c r="X8" s="261"/>
      <c r="Y8" s="261"/>
    </row>
    <row r="9" spans="1:32" s="62" customFormat="1" ht="20.100000000000001" customHeight="1">
      <c r="A9" s="63"/>
      <c r="B9" s="442" t="s">
        <v>195</v>
      </c>
      <c r="C9" s="443"/>
      <c r="D9" s="443"/>
      <c r="E9" s="443"/>
      <c r="F9" s="443"/>
      <c r="G9" s="443"/>
      <c r="H9" s="443"/>
      <c r="I9" s="261"/>
      <c r="J9" s="444" t="s">
        <v>195</v>
      </c>
      <c r="K9" s="443"/>
      <c r="L9" s="443"/>
      <c r="M9" s="261"/>
      <c r="N9" s="444" t="s">
        <v>207</v>
      </c>
      <c r="O9" s="443"/>
      <c r="P9" s="443"/>
      <c r="Q9" s="261"/>
      <c r="R9" s="261"/>
      <c r="S9" s="261"/>
      <c r="T9" s="261"/>
      <c r="U9" s="261"/>
      <c r="V9" s="261"/>
      <c r="W9" s="261"/>
      <c r="X9" s="261"/>
      <c r="Y9" s="261"/>
    </row>
    <row r="10" spans="1:32" s="62" customFormat="1" ht="20.100000000000001" customHeight="1">
      <c r="A10" s="440" t="s">
        <v>193</v>
      </c>
      <c r="B10" s="441"/>
      <c r="C10" s="441"/>
      <c r="D10" s="441"/>
      <c r="E10" s="441"/>
      <c r="F10" s="441"/>
      <c r="G10" s="441"/>
      <c r="H10" s="441"/>
      <c r="I10" s="446" t="s">
        <v>193</v>
      </c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268"/>
      <c r="U10" s="268"/>
      <c r="V10" s="268"/>
      <c r="W10" s="268"/>
      <c r="X10" s="268"/>
      <c r="Y10" s="268"/>
      <c r="Z10" s="268"/>
      <c r="AA10" s="268"/>
      <c r="AB10" s="268"/>
    </row>
    <row r="11" spans="1:32" s="64" customFormat="1" ht="20.100000000000001" customHeight="1">
      <c r="B11" s="436" t="s">
        <v>196</v>
      </c>
      <c r="C11" s="432" t="s">
        <v>47</v>
      </c>
      <c r="D11" s="432" t="s">
        <v>197</v>
      </c>
      <c r="E11" s="264" t="s">
        <v>198</v>
      </c>
      <c r="F11" s="266" t="s">
        <v>199</v>
      </c>
      <c r="G11" s="266" t="s">
        <v>200</v>
      </c>
      <c r="H11" s="266" t="s">
        <v>201</v>
      </c>
      <c r="I11" s="277"/>
      <c r="J11" s="435" t="s">
        <v>196</v>
      </c>
      <c r="K11" s="435" t="s">
        <v>47</v>
      </c>
      <c r="L11" s="435" t="s">
        <v>46</v>
      </c>
      <c r="M11" s="435" t="s">
        <v>202</v>
      </c>
      <c r="N11" s="433"/>
      <c r="O11" s="433"/>
      <c r="P11" s="433"/>
      <c r="Q11" s="433"/>
      <c r="R11" s="433"/>
      <c r="S11" s="277"/>
      <c r="T11" s="277"/>
      <c r="U11" s="277"/>
      <c r="V11" s="277"/>
      <c r="W11" s="277"/>
      <c r="X11" s="277"/>
      <c r="Y11" s="277"/>
      <c r="Z11" s="277"/>
      <c r="AA11" s="277"/>
      <c r="AB11" s="276"/>
    </row>
    <row r="12" spans="1:32" s="64" customFormat="1" ht="20.100000000000001" customHeight="1">
      <c r="B12" s="437"/>
      <c r="C12" s="433"/>
      <c r="D12" s="433"/>
      <c r="E12" s="266" t="s">
        <v>369</v>
      </c>
      <c r="F12" s="266" t="s">
        <v>369</v>
      </c>
      <c r="G12" s="266" t="s">
        <v>369</v>
      </c>
      <c r="H12" s="266" t="s">
        <v>370</v>
      </c>
      <c r="I12" s="277"/>
      <c r="J12" s="433"/>
      <c r="K12" s="433"/>
      <c r="L12" s="433"/>
      <c r="M12" s="435" t="s">
        <v>369</v>
      </c>
      <c r="N12" s="433"/>
      <c r="O12" s="433"/>
      <c r="P12" s="435" t="s">
        <v>370</v>
      </c>
      <c r="Q12" s="433"/>
      <c r="R12" s="433"/>
      <c r="S12" s="277"/>
      <c r="T12" s="277"/>
      <c r="U12" s="277"/>
      <c r="V12" s="277"/>
      <c r="W12" s="277"/>
      <c r="X12" s="277"/>
      <c r="Y12" s="277"/>
      <c r="Z12" s="277"/>
      <c r="AA12" s="277"/>
      <c r="AB12" s="276"/>
    </row>
    <row r="13" spans="1:32" s="64" customFormat="1" ht="20.100000000000001" customHeight="1">
      <c r="B13" s="437"/>
      <c r="C13" s="433"/>
      <c r="D13" s="433"/>
      <c r="E13" s="266" t="s">
        <v>5</v>
      </c>
      <c r="F13" s="266" t="s">
        <v>5</v>
      </c>
      <c r="G13" s="266" t="s">
        <v>5</v>
      </c>
      <c r="H13" s="266" t="s">
        <v>5</v>
      </c>
      <c r="I13" s="277"/>
      <c r="J13" s="433"/>
      <c r="K13" s="433"/>
      <c r="L13" s="433"/>
      <c r="M13" s="435" t="s">
        <v>203</v>
      </c>
      <c r="N13" s="266" t="s">
        <v>204</v>
      </c>
      <c r="O13" s="266" t="s">
        <v>205</v>
      </c>
      <c r="P13" s="435" t="s">
        <v>203</v>
      </c>
      <c r="Q13" s="266" t="s">
        <v>204</v>
      </c>
      <c r="R13" s="266" t="s">
        <v>205</v>
      </c>
      <c r="S13" s="277"/>
      <c r="T13" s="277"/>
      <c r="U13" s="277"/>
      <c r="V13" s="276"/>
      <c r="W13" s="276"/>
      <c r="X13" s="276"/>
      <c r="Y13" s="276"/>
      <c r="Z13" s="276"/>
      <c r="AA13" s="276"/>
      <c r="AB13" s="276"/>
    </row>
    <row r="14" spans="1:32" s="64" customFormat="1" ht="20.100000000000001" customHeight="1">
      <c r="B14" s="437"/>
      <c r="C14" s="433"/>
      <c r="D14" s="433"/>
      <c r="E14" s="243">
        <v>4</v>
      </c>
      <c r="F14" s="243">
        <v>10</v>
      </c>
      <c r="G14" s="243">
        <v>3</v>
      </c>
      <c r="H14" s="243">
        <v>8</v>
      </c>
      <c r="I14" s="277"/>
      <c r="J14" s="433"/>
      <c r="K14" s="433"/>
      <c r="L14" s="433"/>
      <c r="M14" s="433"/>
      <c r="N14" s="266">
        <v>100</v>
      </c>
      <c r="O14" s="273">
        <f>'Student Details'!U13</f>
        <v>0.6</v>
      </c>
      <c r="P14" s="433"/>
      <c r="Q14" s="266">
        <v>100</v>
      </c>
      <c r="R14" s="273">
        <f>'Student Details'!U14</f>
        <v>0.6</v>
      </c>
      <c r="S14" s="277"/>
      <c r="T14" s="277"/>
      <c r="U14" s="277"/>
      <c r="V14" s="277"/>
      <c r="W14" s="276"/>
      <c r="X14" s="277"/>
      <c r="Y14" s="277"/>
      <c r="Z14" s="276"/>
      <c r="AA14" s="276"/>
      <c r="AB14" s="276"/>
    </row>
    <row r="15" spans="1:32" s="64" customFormat="1" ht="20.100000000000001" customHeight="1">
      <c r="B15" s="263">
        <v>1</v>
      </c>
      <c r="C15" s="244" t="str">
        <f>'Student Details'!D13</f>
        <v xml:space="preserve"> 14EE029</v>
      </c>
      <c r="D15" s="244" t="str">
        <f>'Student Details'!E13</f>
        <v xml:space="preserve"> VARUN K R</v>
      </c>
      <c r="E15">
        <v>3</v>
      </c>
      <c r="F15">
        <v>3</v>
      </c>
      <c r="G15">
        <v>3</v>
      </c>
      <c r="H15"/>
      <c r="I15" s="238"/>
      <c r="J15" s="239">
        <v>1</v>
      </c>
      <c r="K15" s="240" t="str">
        <f>'Student Details'!D13</f>
        <v xml:space="preserve"> 14EE029</v>
      </c>
      <c r="L15" s="240" t="str">
        <f>'Student Details'!E13</f>
        <v xml:space="preserve"> VARUN K R</v>
      </c>
      <c r="M15" s="241">
        <f t="shared" ref="M15:M46" si="0">IF(SUM(E15,F15,G15)=0,"NA",SUM(E15,F15,G15))</f>
        <v>9</v>
      </c>
      <c r="N15" s="292">
        <f t="shared" ref="N15:N75" si="1">IF(M15="NA","NA",IF(M15/(SUM(IF(E15&gt;0,$E$14,0),IF(F15&gt;0,$F$14,0),IF(G15&gt;0,$G$14,0)))=0,"",M15/(SUM(IF(E15&gt;0,$E$14,0),IF(F15&gt;0,$F$14,0),IF(G15&gt;0,$G$14,0)))))</f>
        <v>0.52941176470588236</v>
      </c>
      <c r="O15" s="265" t="str">
        <f t="shared" ref="O15:O46" si="2">IF(N15="NA","NA",IF(N15="","",IF(N15&gt;=$O$14,"Y","N")))</f>
        <v>N</v>
      </c>
      <c r="P15" s="241" t="str">
        <f t="shared" ref="P15:P46" si="3">IF(SUM(H15)=0,"NA",SUM(H15))</f>
        <v>NA</v>
      </c>
      <c r="Q15" s="272" t="str">
        <f t="shared" ref="Q15:Q46" si="4">IF(P15="NA","NA",IF(P15/(SUM(IF(H15&gt;0,$H$14,0)))=0,"",P15/(SUM(IF(H15&gt;0,$H$14,0)))))</f>
        <v>NA</v>
      </c>
      <c r="R15" s="264" t="str">
        <f t="shared" ref="R15:R46" si="5">IF(Q15="NA","NA",IF(Q15="","",IF(Q15&gt;=$R$14,"Y","N")))</f>
        <v>NA</v>
      </c>
    </row>
    <row r="16" spans="1:32" s="64" customFormat="1" ht="20.100000000000001" customHeight="1">
      <c r="B16" s="263">
        <v>2</v>
      </c>
      <c r="C16" s="244" t="str">
        <f>'Student Details'!D14</f>
        <v xml:space="preserve"> 15EE032</v>
      </c>
      <c r="D16" s="244" t="str">
        <f>'Student Details'!E14</f>
        <v xml:space="preserve"> PUNEETH R</v>
      </c>
      <c r="E16">
        <v>3</v>
      </c>
      <c r="F16">
        <v>4</v>
      </c>
      <c r="G16">
        <v>2</v>
      </c>
      <c r="H16">
        <v>1</v>
      </c>
      <c r="I16" s="238"/>
      <c r="J16" s="239">
        <v>2</v>
      </c>
      <c r="K16" s="240" t="str">
        <f>'Student Details'!D14</f>
        <v xml:space="preserve"> 15EE032</v>
      </c>
      <c r="L16" s="240" t="str">
        <f>'Student Details'!E14</f>
        <v xml:space="preserve"> PUNEETH R</v>
      </c>
      <c r="M16" s="241">
        <f t="shared" si="0"/>
        <v>9</v>
      </c>
      <c r="N16" s="292">
        <f t="shared" si="1"/>
        <v>0.52941176470588236</v>
      </c>
      <c r="O16" s="265" t="str">
        <f t="shared" si="2"/>
        <v>N</v>
      </c>
      <c r="P16" s="241">
        <f t="shared" si="3"/>
        <v>1</v>
      </c>
      <c r="Q16" s="272">
        <f t="shared" si="4"/>
        <v>0.125</v>
      </c>
      <c r="R16" s="264" t="str">
        <f t="shared" si="5"/>
        <v>N</v>
      </c>
    </row>
    <row r="17" spans="2:24" s="64" customFormat="1" ht="20.100000000000001" customHeight="1">
      <c r="B17" s="263">
        <v>3</v>
      </c>
      <c r="C17" s="278" t="str">
        <f>'Student Details'!D15</f>
        <v xml:space="preserve"> 16EE004</v>
      </c>
      <c r="D17" s="278" t="str">
        <f>'Student Details'!E15</f>
        <v xml:space="preserve"> ANIL S BARKI</v>
      </c>
      <c r="E17">
        <v>3</v>
      </c>
      <c r="F17">
        <v>6</v>
      </c>
      <c r="G17">
        <v>3</v>
      </c>
      <c r="H17">
        <v>2</v>
      </c>
      <c r="I17" s="58"/>
      <c r="J17" s="242">
        <v>3</v>
      </c>
      <c r="K17" s="278" t="str">
        <f>'Student Details'!D15</f>
        <v xml:space="preserve"> 16EE004</v>
      </c>
      <c r="L17" s="278" t="str">
        <f>'Student Details'!E15</f>
        <v xml:space="preserve"> ANIL S BARKI</v>
      </c>
      <c r="M17" s="243">
        <f t="shared" si="0"/>
        <v>12</v>
      </c>
      <c r="N17" s="292">
        <f t="shared" si="1"/>
        <v>0.70588235294117652</v>
      </c>
      <c r="O17" s="266" t="str">
        <f t="shared" si="2"/>
        <v>Y</v>
      </c>
      <c r="P17" s="243">
        <f t="shared" si="3"/>
        <v>2</v>
      </c>
      <c r="Q17" s="272">
        <f t="shared" si="4"/>
        <v>0.25</v>
      </c>
      <c r="R17" s="264" t="str">
        <f t="shared" si="5"/>
        <v>N</v>
      </c>
    </row>
    <row r="18" spans="2:24" s="64" customFormat="1" ht="20.100000000000001" customHeight="1">
      <c r="B18" s="263">
        <v>4</v>
      </c>
      <c r="C18" s="278" t="str">
        <f>'Student Details'!D16</f>
        <v xml:space="preserve"> 16EE005</v>
      </c>
      <c r="D18" s="278" t="str">
        <f>'Student Details'!E16</f>
        <v xml:space="preserve"> ARCHANA B.</v>
      </c>
      <c r="E18">
        <v>4</v>
      </c>
      <c r="F18">
        <v>9</v>
      </c>
      <c r="G18">
        <v>3</v>
      </c>
      <c r="H18">
        <v>7</v>
      </c>
      <c r="I18" s="58"/>
      <c r="J18" s="242">
        <v>4</v>
      </c>
      <c r="K18" s="278" t="str">
        <f>'Student Details'!D16</f>
        <v xml:space="preserve"> 16EE005</v>
      </c>
      <c r="L18" s="278" t="str">
        <f>'Student Details'!E16</f>
        <v xml:space="preserve"> ARCHANA B.</v>
      </c>
      <c r="M18" s="243">
        <f t="shared" si="0"/>
        <v>16</v>
      </c>
      <c r="N18" s="292">
        <f t="shared" si="1"/>
        <v>0.94117647058823528</v>
      </c>
      <c r="O18" s="266" t="str">
        <f t="shared" si="2"/>
        <v>Y</v>
      </c>
      <c r="P18" s="243">
        <f t="shared" si="3"/>
        <v>7</v>
      </c>
      <c r="Q18" s="272">
        <f t="shared" si="4"/>
        <v>0.875</v>
      </c>
      <c r="R18" s="264" t="str">
        <f t="shared" si="5"/>
        <v>Y</v>
      </c>
    </row>
    <row r="19" spans="2:24" s="64" customFormat="1" ht="20.100000000000001" customHeight="1">
      <c r="B19" s="263">
        <v>5</v>
      </c>
      <c r="C19" s="278" t="str">
        <f>'Student Details'!D17</f>
        <v xml:space="preserve"> 16EE006</v>
      </c>
      <c r="D19" s="278" t="str">
        <f>'Student Details'!E17</f>
        <v xml:space="preserve"> AYESHA SHAMAIL</v>
      </c>
      <c r="E19">
        <v>3</v>
      </c>
      <c r="F19">
        <v>8</v>
      </c>
      <c r="G19">
        <v>3</v>
      </c>
      <c r="H19">
        <v>6</v>
      </c>
      <c r="I19" s="58"/>
      <c r="J19" s="242">
        <v>5</v>
      </c>
      <c r="K19" s="278" t="str">
        <f>'Student Details'!D17</f>
        <v xml:space="preserve"> 16EE006</v>
      </c>
      <c r="L19" s="278" t="str">
        <f>'Student Details'!E17</f>
        <v xml:space="preserve"> AYESHA SHAMAIL</v>
      </c>
      <c r="M19" s="243">
        <f t="shared" si="0"/>
        <v>14</v>
      </c>
      <c r="N19" s="272">
        <f t="shared" si="1"/>
        <v>0.82352941176470584</v>
      </c>
      <c r="O19" s="266" t="str">
        <f t="shared" si="2"/>
        <v>Y</v>
      </c>
      <c r="P19" s="243">
        <f t="shared" si="3"/>
        <v>6</v>
      </c>
      <c r="Q19" s="272">
        <f t="shared" si="4"/>
        <v>0.75</v>
      </c>
      <c r="R19" s="264" t="str">
        <f t="shared" si="5"/>
        <v>Y</v>
      </c>
    </row>
    <row r="20" spans="2:24" s="64" customFormat="1" ht="20.100000000000001" customHeight="1">
      <c r="B20" s="263">
        <v>6</v>
      </c>
      <c r="C20" s="278" t="str">
        <f>'Student Details'!D18</f>
        <v xml:space="preserve"> 16EE008</v>
      </c>
      <c r="D20" s="278" t="str">
        <f>'Student Details'!E18</f>
        <v xml:space="preserve"> BHAGYASHREE</v>
      </c>
      <c r="E20">
        <v>4</v>
      </c>
      <c r="F20">
        <v>5</v>
      </c>
      <c r="G20">
        <v>3</v>
      </c>
      <c r="H20"/>
      <c r="I20" s="58"/>
      <c r="J20" s="242">
        <v>6</v>
      </c>
      <c r="K20" s="278" t="str">
        <f>'Student Details'!D18</f>
        <v xml:space="preserve"> 16EE008</v>
      </c>
      <c r="L20" s="278" t="str">
        <f>'Student Details'!E18</f>
        <v xml:space="preserve"> BHAGYASHREE</v>
      </c>
      <c r="M20" s="243">
        <f t="shared" si="0"/>
        <v>12</v>
      </c>
      <c r="N20" s="292">
        <f t="shared" si="1"/>
        <v>0.70588235294117652</v>
      </c>
      <c r="O20" s="266" t="str">
        <f t="shared" si="2"/>
        <v>Y</v>
      </c>
      <c r="P20" s="243" t="str">
        <f t="shared" si="3"/>
        <v>NA</v>
      </c>
      <c r="Q20" s="272" t="str">
        <f t="shared" si="4"/>
        <v>NA</v>
      </c>
      <c r="R20" s="264" t="str">
        <f t="shared" si="5"/>
        <v>NA</v>
      </c>
    </row>
    <row r="21" spans="2:24" s="64" customFormat="1" ht="20.100000000000001" customHeight="1">
      <c r="B21" s="263">
        <v>7</v>
      </c>
      <c r="C21" s="278" t="str">
        <f>'Student Details'!D19</f>
        <v xml:space="preserve"> 16EE009</v>
      </c>
      <c r="D21" s="278" t="str">
        <f>'Student Details'!E19</f>
        <v xml:space="preserve"> BHAVANA H M</v>
      </c>
      <c r="E21">
        <v>4</v>
      </c>
      <c r="F21">
        <v>5</v>
      </c>
      <c r="G21">
        <v>1</v>
      </c>
      <c r="H21">
        <v>4</v>
      </c>
      <c r="I21" s="58"/>
      <c r="J21" s="242">
        <v>7</v>
      </c>
      <c r="K21" s="278" t="str">
        <f>'Student Details'!D19</f>
        <v xml:space="preserve"> 16EE009</v>
      </c>
      <c r="L21" s="278" t="str">
        <f>'Student Details'!E19</f>
        <v xml:space="preserve"> BHAVANA H M</v>
      </c>
      <c r="M21" s="243">
        <f t="shared" si="0"/>
        <v>10</v>
      </c>
      <c r="N21" s="292">
        <f t="shared" si="1"/>
        <v>0.58823529411764708</v>
      </c>
      <c r="O21" s="266" t="str">
        <f t="shared" si="2"/>
        <v>N</v>
      </c>
      <c r="P21" s="243">
        <f t="shared" si="3"/>
        <v>4</v>
      </c>
      <c r="Q21" s="272">
        <f t="shared" si="4"/>
        <v>0.5</v>
      </c>
      <c r="R21" s="264" t="str">
        <f t="shared" si="5"/>
        <v>N</v>
      </c>
    </row>
    <row r="22" spans="2:24" s="64" customFormat="1" ht="20.100000000000001" customHeight="1">
      <c r="B22" s="263">
        <v>8</v>
      </c>
      <c r="C22" s="278" t="str">
        <f>'Student Details'!D20</f>
        <v xml:space="preserve"> 16EE010</v>
      </c>
      <c r="D22" s="278" t="str">
        <f>'Student Details'!E20</f>
        <v xml:space="preserve"> BHIMANAIKA Y</v>
      </c>
      <c r="E22">
        <v>3</v>
      </c>
      <c r="F22">
        <v>7</v>
      </c>
      <c r="G22">
        <v>2</v>
      </c>
      <c r="H22">
        <v>5</v>
      </c>
      <c r="I22" s="58"/>
      <c r="J22" s="239">
        <v>8</v>
      </c>
      <c r="K22" s="278" t="str">
        <f>'Student Details'!D20</f>
        <v xml:space="preserve"> 16EE010</v>
      </c>
      <c r="L22" s="278" t="str">
        <f>'Student Details'!E20</f>
        <v xml:space="preserve"> BHIMANAIKA Y</v>
      </c>
      <c r="M22" s="241">
        <f t="shared" si="0"/>
        <v>12</v>
      </c>
      <c r="N22" s="292">
        <f t="shared" si="1"/>
        <v>0.70588235294117652</v>
      </c>
      <c r="O22" s="266" t="str">
        <f t="shared" si="2"/>
        <v>Y</v>
      </c>
      <c r="P22" s="241">
        <f t="shared" si="3"/>
        <v>5</v>
      </c>
      <c r="Q22" s="273">
        <f t="shared" si="4"/>
        <v>0.625</v>
      </c>
      <c r="R22" s="266" t="str">
        <f t="shared" si="5"/>
        <v>Y</v>
      </c>
      <c r="T22" s="58"/>
      <c r="U22" s="58"/>
      <c r="W22" s="58"/>
      <c r="X22" s="58"/>
    </row>
    <row r="23" spans="2:24" s="64" customFormat="1" ht="20.100000000000001" customHeight="1">
      <c r="B23" s="263">
        <v>9</v>
      </c>
      <c r="C23" s="278" t="str">
        <f>'Student Details'!D21</f>
        <v xml:space="preserve"> 16EE011</v>
      </c>
      <c r="D23" s="278" t="str">
        <f>'Student Details'!E21</f>
        <v xml:space="preserve"> BINDUSHREE T.A.</v>
      </c>
      <c r="E23">
        <v>2</v>
      </c>
      <c r="F23">
        <v>5</v>
      </c>
      <c r="G23">
        <v>3</v>
      </c>
      <c r="H23">
        <v>4</v>
      </c>
      <c r="I23" s="58"/>
      <c r="J23" s="239">
        <v>9</v>
      </c>
      <c r="K23" s="278" t="str">
        <f>'Student Details'!D21</f>
        <v xml:space="preserve"> 16EE011</v>
      </c>
      <c r="L23" s="278" t="str">
        <f>'Student Details'!E21</f>
        <v xml:space="preserve"> BINDUSHREE T.A.</v>
      </c>
      <c r="M23" s="241">
        <f t="shared" si="0"/>
        <v>10</v>
      </c>
      <c r="N23" s="292">
        <f t="shared" si="1"/>
        <v>0.58823529411764708</v>
      </c>
      <c r="O23" s="266" t="str">
        <f t="shared" si="2"/>
        <v>N</v>
      </c>
      <c r="P23" s="241">
        <f t="shared" si="3"/>
        <v>4</v>
      </c>
      <c r="Q23" s="273">
        <f t="shared" si="4"/>
        <v>0.5</v>
      </c>
      <c r="R23" s="266" t="str">
        <f t="shared" si="5"/>
        <v>N</v>
      </c>
      <c r="T23" s="58"/>
      <c r="U23" s="58"/>
      <c r="W23" s="58"/>
      <c r="X23" s="58"/>
    </row>
    <row r="24" spans="2:24" s="64" customFormat="1" ht="20.100000000000001" customHeight="1">
      <c r="B24" s="263">
        <v>10</v>
      </c>
      <c r="C24" s="278" t="str">
        <f>'Student Details'!D22</f>
        <v xml:space="preserve"> 16EE012</v>
      </c>
      <c r="D24" s="278" t="str">
        <f>'Student Details'!E22</f>
        <v xml:space="preserve"> BRUNDA S</v>
      </c>
      <c r="E24">
        <v>4</v>
      </c>
      <c r="F24">
        <v>8</v>
      </c>
      <c r="G24">
        <v>3</v>
      </c>
      <c r="H24">
        <v>4</v>
      </c>
      <c r="I24" s="58"/>
      <c r="J24" s="239">
        <v>10</v>
      </c>
      <c r="K24" s="278" t="str">
        <f>'Student Details'!D22</f>
        <v xml:space="preserve"> 16EE012</v>
      </c>
      <c r="L24" s="278" t="str">
        <f>'Student Details'!E22</f>
        <v xml:space="preserve"> BRUNDA S</v>
      </c>
      <c r="M24" s="241">
        <f t="shared" si="0"/>
        <v>15</v>
      </c>
      <c r="N24" s="292">
        <f t="shared" si="1"/>
        <v>0.88235294117647056</v>
      </c>
      <c r="O24" s="266" t="str">
        <f t="shared" si="2"/>
        <v>Y</v>
      </c>
      <c r="P24" s="241">
        <f t="shared" si="3"/>
        <v>4</v>
      </c>
      <c r="Q24" s="273">
        <f t="shared" si="4"/>
        <v>0.5</v>
      </c>
      <c r="R24" s="266" t="str">
        <f t="shared" si="5"/>
        <v>N</v>
      </c>
      <c r="T24" s="58"/>
      <c r="U24" s="58"/>
      <c r="W24" s="58"/>
      <c r="X24" s="58"/>
    </row>
    <row r="25" spans="2:24" s="64" customFormat="1" ht="20.100000000000001" customHeight="1">
      <c r="B25" s="263">
        <v>11</v>
      </c>
      <c r="C25" s="278" t="str">
        <f>'Student Details'!D23</f>
        <v xml:space="preserve"> 16EE013</v>
      </c>
      <c r="D25" s="278" t="str">
        <f>'Student Details'!E23</f>
        <v xml:space="preserve"> CHAITHRA S</v>
      </c>
      <c r="E25">
        <v>4</v>
      </c>
      <c r="F25">
        <v>5</v>
      </c>
      <c r="G25">
        <v>3</v>
      </c>
      <c r="H25"/>
      <c r="I25" s="238"/>
      <c r="J25" s="239">
        <v>11</v>
      </c>
      <c r="K25" s="278" t="str">
        <f>'Student Details'!D23</f>
        <v xml:space="preserve"> 16EE013</v>
      </c>
      <c r="L25" s="278" t="str">
        <f>'Student Details'!E23</f>
        <v xml:space="preserve"> CHAITHRA S</v>
      </c>
      <c r="M25" s="241">
        <f t="shared" si="0"/>
        <v>12</v>
      </c>
      <c r="N25" s="292">
        <f t="shared" si="1"/>
        <v>0.70588235294117652</v>
      </c>
      <c r="O25" s="266" t="str">
        <f t="shared" si="2"/>
        <v>Y</v>
      </c>
      <c r="P25" s="241" t="str">
        <f t="shared" si="3"/>
        <v>NA</v>
      </c>
      <c r="Q25" s="273" t="str">
        <f t="shared" si="4"/>
        <v>NA</v>
      </c>
      <c r="R25" s="266" t="str">
        <f t="shared" si="5"/>
        <v>NA</v>
      </c>
      <c r="T25" s="58"/>
      <c r="U25" s="58"/>
      <c r="W25" s="58"/>
      <c r="X25" s="58"/>
    </row>
    <row r="26" spans="2:24" s="64" customFormat="1" ht="20.100000000000001" customHeight="1">
      <c r="B26" s="263">
        <v>12</v>
      </c>
      <c r="C26" s="278" t="str">
        <f>'Student Details'!D24</f>
        <v xml:space="preserve"> 16EE014</v>
      </c>
      <c r="D26" s="278" t="str">
        <f>'Student Details'!E24</f>
        <v xml:space="preserve"> CHETHAN M</v>
      </c>
      <c r="E26"/>
      <c r="F26">
        <v>8</v>
      </c>
      <c r="G26">
        <v>2</v>
      </c>
      <c r="H26">
        <v>6</v>
      </c>
      <c r="I26" s="238"/>
      <c r="J26" s="239">
        <v>12</v>
      </c>
      <c r="K26" s="278" t="str">
        <f>'Student Details'!D24</f>
        <v xml:space="preserve"> 16EE014</v>
      </c>
      <c r="L26" s="278" t="str">
        <f>'Student Details'!E24</f>
        <v xml:space="preserve"> CHETHAN M</v>
      </c>
      <c r="M26" s="241">
        <f t="shared" si="0"/>
        <v>10</v>
      </c>
      <c r="N26" s="292">
        <f t="shared" si="1"/>
        <v>0.76923076923076927</v>
      </c>
      <c r="O26" s="266" t="str">
        <f t="shared" si="2"/>
        <v>Y</v>
      </c>
      <c r="P26" s="241">
        <f t="shared" si="3"/>
        <v>6</v>
      </c>
      <c r="Q26" s="273">
        <f t="shared" si="4"/>
        <v>0.75</v>
      </c>
      <c r="R26" s="266" t="str">
        <f t="shared" si="5"/>
        <v>Y</v>
      </c>
      <c r="T26" s="58"/>
      <c r="U26" s="58"/>
      <c r="W26" s="58"/>
      <c r="X26" s="58"/>
    </row>
    <row r="27" spans="2:24" s="64" customFormat="1" ht="20.100000000000001" customHeight="1">
      <c r="B27" s="263">
        <v>13</v>
      </c>
      <c r="C27" s="244" t="str">
        <f>'Student Details'!D25</f>
        <v xml:space="preserve"> 16EE016</v>
      </c>
      <c r="D27" s="244" t="str">
        <f>'Student Details'!E25</f>
        <v xml:space="preserve"> DEEKSHITH M S</v>
      </c>
      <c r="E27">
        <v>1</v>
      </c>
      <c r="F27">
        <v>7</v>
      </c>
      <c r="G27">
        <v>3</v>
      </c>
      <c r="H27">
        <v>4</v>
      </c>
      <c r="I27" s="238"/>
      <c r="J27" s="239">
        <v>13</v>
      </c>
      <c r="K27" s="240" t="str">
        <f>'Student Details'!D25</f>
        <v xml:space="preserve"> 16EE016</v>
      </c>
      <c r="L27" s="240" t="str">
        <f>'Student Details'!E25</f>
        <v xml:space="preserve"> DEEKSHITH M S</v>
      </c>
      <c r="M27" s="241">
        <f t="shared" si="0"/>
        <v>11</v>
      </c>
      <c r="N27" s="292">
        <f t="shared" si="1"/>
        <v>0.6470588235294118</v>
      </c>
      <c r="O27" s="265" t="str">
        <f t="shared" si="2"/>
        <v>Y</v>
      </c>
      <c r="P27" s="241">
        <f t="shared" si="3"/>
        <v>4</v>
      </c>
      <c r="Q27" s="272">
        <f t="shared" si="4"/>
        <v>0.5</v>
      </c>
      <c r="R27" s="264" t="str">
        <f t="shared" si="5"/>
        <v>N</v>
      </c>
    </row>
    <row r="28" spans="2:24" s="64" customFormat="1" ht="20.100000000000001" customHeight="1">
      <c r="B28" s="263">
        <v>14</v>
      </c>
      <c r="C28" s="244" t="str">
        <f>'Student Details'!D26</f>
        <v xml:space="preserve"> 16EE017</v>
      </c>
      <c r="D28" s="244" t="str">
        <f>'Student Details'!E26</f>
        <v xml:space="preserve"> DEEPTI M HONGUTHI</v>
      </c>
      <c r="E28"/>
      <c r="F28">
        <v>9</v>
      </c>
      <c r="G28">
        <v>3</v>
      </c>
      <c r="H28">
        <v>0</v>
      </c>
      <c r="I28" s="238"/>
      <c r="J28" s="239">
        <v>14</v>
      </c>
      <c r="K28" s="240" t="str">
        <f>'Student Details'!D26</f>
        <v xml:space="preserve"> 16EE017</v>
      </c>
      <c r="L28" s="240" t="str">
        <f>'Student Details'!E26</f>
        <v xml:space="preserve"> DEEPTI M HONGUTHI</v>
      </c>
      <c r="M28" s="241">
        <f t="shared" si="0"/>
        <v>12</v>
      </c>
      <c r="N28" s="292">
        <f t="shared" si="1"/>
        <v>0.92307692307692313</v>
      </c>
      <c r="O28" s="265" t="str">
        <f t="shared" si="2"/>
        <v>Y</v>
      </c>
      <c r="P28" s="241" t="str">
        <f t="shared" si="3"/>
        <v>NA</v>
      </c>
      <c r="Q28" s="272" t="str">
        <f t="shared" si="4"/>
        <v>NA</v>
      </c>
      <c r="R28" s="264" t="str">
        <f t="shared" si="5"/>
        <v>NA</v>
      </c>
    </row>
    <row r="29" spans="2:24" s="64" customFormat="1" ht="20.100000000000001" customHeight="1">
      <c r="B29" s="263">
        <v>15</v>
      </c>
      <c r="C29" s="244" t="str">
        <f>'Student Details'!D27</f>
        <v xml:space="preserve"> 16EE020</v>
      </c>
      <c r="D29" s="244" t="str">
        <f>'Student Details'!E27</f>
        <v xml:space="preserve"> HARSHA</v>
      </c>
      <c r="E29">
        <v>2</v>
      </c>
      <c r="F29">
        <v>3</v>
      </c>
      <c r="G29">
        <v>3</v>
      </c>
      <c r="H29"/>
      <c r="I29" s="238"/>
      <c r="J29" s="239">
        <v>15</v>
      </c>
      <c r="K29" s="240" t="str">
        <f>'Student Details'!D27</f>
        <v xml:space="preserve"> 16EE020</v>
      </c>
      <c r="L29" s="240" t="str">
        <f>'Student Details'!E27</f>
        <v xml:space="preserve"> HARSHA</v>
      </c>
      <c r="M29" s="241">
        <f t="shared" si="0"/>
        <v>8</v>
      </c>
      <c r="N29" s="292">
        <f t="shared" si="1"/>
        <v>0.47058823529411764</v>
      </c>
      <c r="O29" s="265" t="str">
        <f t="shared" si="2"/>
        <v>N</v>
      </c>
      <c r="P29" s="241" t="str">
        <f t="shared" si="3"/>
        <v>NA</v>
      </c>
      <c r="Q29" s="272" t="str">
        <f t="shared" si="4"/>
        <v>NA</v>
      </c>
      <c r="R29" s="264" t="str">
        <f t="shared" si="5"/>
        <v>NA</v>
      </c>
    </row>
    <row r="30" spans="2:24" s="64" customFormat="1" ht="20.100000000000001" customHeight="1">
      <c r="B30" s="263">
        <v>16</v>
      </c>
      <c r="C30" s="244" t="str">
        <f>'Student Details'!D28</f>
        <v xml:space="preserve"> 16EE021</v>
      </c>
      <c r="D30" s="244" t="str">
        <f>'Student Details'!E28</f>
        <v xml:space="preserve"> JEEVITHA L R</v>
      </c>
      <c r="E30">
        <v>3</v>
      </c>
      <c r="F30">
        <v>9</v>
      </c>
      <c r="G30">
        <v>3</v>
      </c>
      <c r="H30">
        <v>7</v>
      </c>
      <c r="I30" s="238"/>
      <c r="J30" s="239">
        <v>16</v>
      </c>
      <c r="K30" s="240" t="str">
        <f>'Student Details'!D28</f>
        <v xml:space="preserve"> 16EE021</v>
      </c>
      <c r="L30" s="240" t="str">
        <f>'Student Details'!E28</f>
        <v xml:space="preserve"> JEEVITHA L R</v>
      </c>
      <c r="M30" s="241">
        <f t="shared" si="0"/>
        <v>15</v>
      </c>
      <c r="N30" s="292">
        <f t="shared" si="1"/>
        <v>0.88235294117647056</v>
      </c>
      <c r="O30" s="265" t="str">
        <f t="shared" si="2"/>
        <v>Y</v>
      </c>
      <c r="P30" s="241">
        <f t="shared" si="3"/>
        <v>7</v>
      </c>
      <c r="Q30" s="272">
        <f t="shared" si="4"/>
        <v>0.875</v>
      </c>
      <c r="R30" s="264" t="str">
        <f t="shared" si="5"/>
        <v>Y</v>
      </c>
    </row>
    <row r="31" spans="2:24" s="64" customFormat="1" ht="20.100000000000001" customHeight="1">
      <c r="B31" s="263">
        <v>17</v>
      </c>
      <c r="C31" s="244" t="str">
        <f>'Student Details'!D29</f>
        <v xml:space="preserve"> 16EE022</v>
      </c>
      <c r="D31" s="244" t="str">
        <f>'Student Details'!E29</f>
        <v xml:space="preserve"> JULEKHA B</v>
      </c>
      <c r="E31">
        <v>2</v>
      </c>
      <c r="F31">
        <v>8</v>
      </c>
      <c r="G31">
        <v>3</v>
      </c>
      <c r="H31">
        <v>0</v>
      </c>
      <c r="I31" s="238"/>
      <c r="J31" s="239">
        <v>17</v>
      </c>
      <c r="K31" s="240" t="str">
        <f>'Student Details'!D29</f>
        <v xml:space="preserve"> 16EE022</v>
      </c>
      <c r="L31" s="240" t="str">
        <f>'Student Details'!E29</f>
        <v xml:space="preserve"> JULEKHA B</v>
      </c>
      <c r="M31" s="241">
        <f t="shared" si="0"/>
        <v>13</v>
      </c>
      <c r="N31" s="292">
        <f t="shared" si="1"/>
        <v>0.76470588235294112</v>
      </c>
      <c r="O31" s="265" t="str">
        <f t="shared" si="2"/>
        <v>Y</v>
      </c>
      <c r="P31" s="241" t="str">
        <f t="shared" si="3"/>
        <v>NA</v>
      </c>
      <c r="Q31" s="272" t="str">
        <f t="shared" si="4"/>
        <v>NA</v>
      </c>
      <c r="R31" s="264" t="str">
        <f t="shared" si="5"/>
        <v>NA</v>
      </c>
    </row>
    <row r="32" spans="2:24" s="64" customFormat="1" ht="20.100000000000001" customHeight="1">
      <c r="B32" s="263">
        <v>18</v>
      </c>
      <c r="C32" s="244" t="str">
        <f>'Student Details'!D30</f>
        <v>16EE023</v>
      </c>
      <c r="D32" s="244" t="str">
        <f>'Student Details'!E30</f>
        <v>JYOTHI S N</v>
      </c>
      <c r="E32">
        <v>3</v>
      </c>
      <c r="F32">
        <v>7</v>
      </c>
      <c r="G32">
        <v>3</v>
      </c>
      <c r="H32">
        <v>4</v>
      </c>
      <c r="I32" s="238"/>
      <c r="J32" s="239">
        <v>18</v>
      </c>
      <c r="K32" s="240" t="str">
        <f>'Student Details'!D30</f>
        <v>16EE023</v>
      </c>
      <c r="L32" s="240" t="str">
        <f>'Student Details'!E30</f>
        <v>JYOTHI S N</v>
      </c>
      <c r="M32" s="241">
        <f t="shared" si="0"/>
        <v>13</v>
      </c>
      <c r="N32" s="292">
        <f t="shared" si="1"/>
        <v>0.76470588235294112</v>
      </c>
      <c r="O32" s="265" t="str">
        <f t="shared" si="2"/>
        <v>Y</v>
      </c>
      <c r="P32" s="241">
        <f t="shared" si="3"/>
        <v>4</v>
      </c>
      <c r="Q32" s="272">
        <f t="shared" si="4"/>
        <v>0.5</v>
      </c>
      <c r="R32" s="264" t="str">
        <f t="shared" si="5"/>
        <v>N</v>
      </c>
    </row>
    <row r="33" spans="2:18" s="64" customFormat="1" ht="20.100000000000001" customHeight="1">
      <c r="B33" s="263">
        <v>19</v>
      </c>
      <c r="C33" s="244" t="str">
        <f>'Student Details'!D31</f>
        <v xml:space="preserve"> 16EE025</v>
      </c>
      <c r="D33" s="244" t="str">
        <f>'Student Details'!E31</f>
        <v xml:space="preserve"> KAVANA S</v>
      </c>
      <c r="E33">
        <v>4</v>
      </c>
      <c r="F33">
        <v>6</v>
      </c>
      <c r="G33">
        <v>3</v>
      </c>
      <c r="H33">
        <v>4</v>
      </c>
      <c r="I33" s="238"/>
      <c r="J33" s="239">
        <v>19</v>
      </c>
      <c r="K33" s="240" t="str">
        <f>'Student Details'!D31</f>
        <v xml:space="preserve"> 16EE025</v>
      </c>
      <c r="L33" s="240" t="str">
        <f>'Student Details'!E31</f>
        <v xml:space="preserve"> KAVANA S</v>
      </c>
      <c r="M33" s="241">
        <f t="shared" si="0"/>
        <v>13</v>
      </c>
      <c r="N33" s="292">
        <f t="shared" si="1"/>
        <v>0.76470588235294112</v>
      </c>
      <c r="O33" s="265" t="str">
        <f t="shared" si="2"/>
        <v>Y</v>
      </c>
      <c r="P33" s="241">
        <f t="shared" si="3"/>
        <v>4</v>
      </c>
      <c r="Q33" s="272">
        <f t="shared" si="4"/>
        <v>0.5</v>
      </c>
      <c r="R33" s="264" t="str">
        <f t="shared" si="5"/>
        <v>N</v>
      </c>
    </row>
    <row r="34" spans="2:18" s="64" customFormat="1" ht="20.100000000000001" customHeight="1">
      <c r="B34" s="263">
        <v>20</v>
      </c>
      <c r="C34" s="244" t="str">
        <f>'Student Details'!D32</f>
        <v xml:space="preserve"> 16EE027</v>
      </c>
      <c r="D34" s="244" t="str">
        <f>'Student Details'!E32</f>
        <v xml:space="preserve"> KUMAR RAGHAVENDRA G.B.</v>
      </c>
      <c r="E34">
        <v>4</v>
      </c>
      <c r="F34">
        <v>9</v>
      </c>
      <c r="G34">
        <v>3</v>
      </c>
      <c r="H34">
        <v>7</v>
      </c>
      <c r="I34" s="238"/>
      <c r="J34" s="239">
        <v>20</v>
      </c>
      <c r="K34" s="240" t="str">
        <f>'Student Details'!D32</f>
        <v xml:space="preserve"> 16EE027</v>
      </c>
      <c r="L34" s="240" t="str">
        <f>'Student Details'!E32</f>
        <v xml:space="preserve"> KUMAR RAGHAVENDRA G.B.</v>
      </c>
      <c r="M34" s="241">
        <f t="shared" si="0"/>
        <v>16</v>
      </c>
      <c r="N34" s="292">
        <f t="shared" si="1"/>
        <v>0.94117647058823528</v>
      </c>
      <c r="O34" s="265" t="str">
        <f t="shared" si="2"/>
        <v>Y</v>
      </c>
      <c r="P34" s="241">
        <f t="shared" si="3"/>
        <v>7</v>
      </c>
      <c r="Q34" s="272">
        <f t="shared" si="4"/>
        <v>0.875</v>
      </c>
      <c r="R34" s="264" t="str">
        <f t="shared" si="5"/>
        <v>Y</v>
      </c>
    </row>
    <row r="35" spans="2:18" s="64" customFormat="1" ht="20.100000000000001" customHeight="1">
      <c r="B35" s="263">
        <v>21</v>
      </c>
      <c r="C35" s="244" t="str">
        <f>'Student Details'!D33</f>
        <v xml:space="preserve"> 16EE028</v>
      </c>
      <c r="D35" s="244" t="str">
        <f>'Student Details'!E33</f>
        <v xml:space="preserve"> LAKSHMI R</v>
      </c>
      <c r="E35">
        <v>3</v>
      </c>
      <c r="F35">
        <v>6</v>
      </c>
      <c r="G35">
        <v>3</v>
      </c>
      <c r="H35">
        <v>4</v>
      </c>
      <c r="I35" s="238"/>
      <c r="J35" s="239">
        <v>21</v>
      </c>
      <c r="K35" s="240" t="str">
        <f>'Student Details'!D33</f>
        <v xml:space="preserve"> 16EE028</v>
      </c>
      <c r="L35" s="240" t="str">
        <f>'Student Details'!E33</f>
        <v xml:space="preserve"> LAKSHMI R</v>
      </c>
      <c r="M35" s="241">
        <f t="shared" si="0"/>
        <v>12</v>
      </c>
      <c r="N35" s="292">
        <f t="shared" si="1"/>
        <v>0.70588235294117652</v>
      </c>
      <c r="O35" s="265" t="str">
        <f t="shared" si="2"/>
        <v>Y</v>
      </c>
      <c r="P35" s="241">
        <f t="shared" si="3"/>
        <v>4</v>
      </c>
      <c r="Q35" s="272">
        <f t="shared" si="4"/>
        <v>0.5</v>
      </c>
      <c r="R35" s="264" t="str">
        <f t="shared" si="5"/>
        <v>N</v>
      </c>
    </row>
    <row r="36" spans="2:18" s="64" customFormat="1" ht="20.100000000000001" customHeight="1">
      <c r="B36" s="263">
        <v>22</v>
      </c>
      <c r="C36" s="244" t="str">
        <f>'Student Details'!D34</f>
        <v xml:space="preserve"> 16EE031</v>
      </c>
      <c r="D36" s="244" t="str">
        <f>'Student Details'!E34</f>
        <v xml:space="preserve"> MANOJ T</v>
      </c>
      <c r="E36">
        <v>4</v>
      </c>
      <c r="F36">
        <v>8</v>
      </c>
      <c r="G36">
        <v>3</v>
      </c>
      <c r="H36">
        <v>4</v>
      </c>
      <c r="I36" s="238"/>
      <c r="J36" s="239">
        <v>22</v>
      </c>
      <c r="K36" s="240" t="str">
        <f>'Student Details'!D34</f>
        <v xml:space="preserve"> 16EE031</v>
      </c>
      <c r="L36" s="240" t="str">
        <f>'Student Details'!E34</f>
        <v xml:space="preserve"> MANOJ T</v>
      </c>
      <c r="M36" s="241">
        <f t="shared" si="0"/>
        <v>15</v>
      </c>
      <c r="N36" s="292">
        <f t="shared" si="1"/>
        <v>0.88235294117647056</v>
      </c>
      <c r="O36" s="265" t="str">
        <f t="shared" si="2"/>
        <v>Y</v>
      </c>
      <c r="P36" s="241">
        <f t="shared" si="3"/>
        <v>4</v>
      </c>
      <c r="Q36" s="272">
        <f t="shared" si="4"/>
        <v>0.5</v>
      </c>
      <c r="R36" s="264" t="str">
        <f t="shared" si="5"/>
        <v>N</v>
      </c>
    </row>
    <row r="37" spans="2:18" s="64" customFormat="1" ht="20.100000000000001" customHeight="1">
      <c r="B37" s="263">
        <v>23</v>
      </c>
      <c r="C37" s="244" t="str">
        <f>'Student Details'!D35</f>
        <v xml:space="preserve"> 16EE032</v>
      </c>
      <c r="D37" s="244" t="str">
        <f>'Student Details'!E35</f>
        <v xml:space="preserve"> MD SARJIL ANSARI</v>
      </c>
      <c r="E37">
        <v>4</v>
      </c>
      <c r="F37">
        <v>9</v>
      </c>
      <c r="G37">
        <v>3</v>
      </c>
      <c r="H37">
        <v>7</v>
      </c>
      <c r="I37" s="238"/>
      <c r="J37" s="239">
        <v>23</v>
      </c>
      <c r="K37" s="240" t="str">
        <f>'Student Details'!D35</f>
        <v xml:space="preserve"> 16EE032</v>
      </c>
      <c r="L37" s="240" t="str">
        <f>'Student Details'!E35</f>
        <v xml:space="preserve"> MD SARJIL ANSARI</v>
      </c>
      <c r="M37" s="241">
        <f t="shared" si="0"/>
        <v>16</v>
      </c>
      <c r="N37" s="292">
        <f t="shared" si="1"/>
        <v>0.94117647058823528</v>
      </c>
      <c r="O37" s="265" t="str">
        <f t="shared" si="2"/>
        <v>Y</v>
      </c>
      <c r="P37" s="241">
        <f t="shared" si="3"/>
        <v>7</v>
      </c>
      <c r="Q37" s="272">
        <f t="shared" si="4"/>
        <v>0.875</v>
      </c>
      <c r="R37" s="264" t="str">
        <f t="shared" si="5"/>
        <v>Y</v>
      </c>
    </row>
    <row r="38" spans="2:18" s="64" customFormat="1" ht="20.100000000000001" customHeight="1">
      <c r="B38" s="263">
        <v>24</v>
      </c>
      <c r="C38" s="244" t="str">
        <f>'Student Details'!D36</f>
        <v xml:space="preserve"> 16EE034</v>
      </c>
      <c r="D38" s="244" t="str">
        <f>'Student Details'!E36</f>
        <v xml:space="preserve"> MITHILA A R THOTADA</v>
      </c>
      <c r="E38">
        <v>1</v>
      </c>
      <c r="F38">
        <v>4</v>
      </c>
      <c r="G38">
        <v>3</v>
      </c>
      <c r="H38">
        <v>4</v>
      </c>
      <c r="I38" s="238"/>
      <c r="J38" s="239">
        <v>24</v>
      </c>
      <c r="K38" s="240" t="str">
        <f>'Student Details'!D36</f>
        <v xml:space="preserve"> 16EE034</v>
      </c>
      <c r="L38" s="240" t="str">
        <f>'Student Details'!E36</f>
        <v xml:space="preserve"> MITHILA A R THOTADA</v>
      </c>
      <c r="M38" s="241">
        <f t="shared" si="0"/>
        <v>8</v>
      </c>
      <c r="N38" s="292">
        <f t="shared" si="1"/>
        <v>0.47058823529411764</v>
      </c>
      <c r="O38" s="265" t="str">
        <f t="shared" si="2"/>
        <v>N</v>
      </c>
      <c r="P38" s="241">
        <f t="shared" si="3"/>
        <v>4</v>
      </c>
      <c r="Q38" s="272">
        <f t="shared" si="4"/>
        <v>0.5</v>
      </c>
      <c r="R38" s="264" t="str">
        <f t="shared" si="5"/>
        <v>N</v>
      </c>
    </row>
    <row r="39" spans="2:18" s="64" customFormat="1" ht="20.100000000000001" customHeight="1">
      <c r="B39" s="263">
        <v>25</v>
      </c>
      <c r="C39" s="244" t="str">
        <f>'Student Details'!D37</f>
        <v xml:space="preserve"> 16EE035</v>
      </c>
      <c r="D39" s="244" t="str">
        <f>'Student Details'!E37</f>
        <v xml:space="preserve"> MOUNA K.M</v>
      </c>
      <c r="E39">
        <v>4</v>
      </c>
      <c r="F39">
        <v>9</v>
      </c>
      <c r="G39">
        <v>3</v>
      </c>
      <c r="H39">
        <v>6</v>
      </c>
      <c r="I39" s="238"/>
      <c r="J39" s="239">
        <v>25</v>
      </c>
      <c r="K39" s="240" t="str">
        <f>'Student Details'!D37</f>
        <v xml:space="preserve"> 16EE035</v>
      </c>
      <c r="L39" s="240" t="str">
        <f>'Student Details'!E37</f>
        <v xml:space="preserve"> MOUNA K.M</v>
      </c>
      <c r="M39" s="241">
        <f t="shared" si="0"/>
        <v>16</v>
      </c>
      <c r="N39" s="292">
        <f t="shared" si="1"/>
        <v>0.94117647058823528</v>
      </c>
      <c r="O39" s="265" t="str">
        <f t="shared" si="2"/>
        <v>Y</v>
      </c>
      <c r="P39" s="241">
        <f t="shared" si="3"/>
        <v>6</v>
      </c>
      <c r="Q39" s="272">
        <f t="shared" si="4"/>
        <v>0.75</v>
      </c>
      <c r="R39" s="264" t="str">
        <f t="shared" si="5"/>
        <v>Y</v>
      </c>
    </row>
    <row r="40" spans="2:18" s="64" customFormat="1" ht="20.100000000000001" customHeight="1">
      <c r="B40" s="263">
        <v>26</v>
      </c>
      <c r="C40" s="244" t="str">
        <f>'Student Details'!D38</f>
        <v xml:space="preserve"> 16EE036</v>
      </c>
      <c r="D40" s="244" t="str">
        <f>'Student Details'!E38</f>
        <v xml:space="preserve"> NARASIMHANAYAKA D</v>
      </c>
      <c r="E40">
        <v>3</v>
      </c>
      <c r="F40">
        <v>7</v>
      </c>
      <c r="G40">
        <v>3</v>
      </c>
      <c r="H40">
        <v>4</v>
      </c>
      <c r="I40" s="238"/>
      <c r="J40" s="239">
        <v>26</v>
      </c>
      <c r="K40" s="240" t="str">
        <f>'Student Details'!D38</f>
        <v xml:space="preserve"> 16EE036</v>
      </c>
      <c r="L40" s="240" t="str">
        <f>'Student Details'!E38</f>
        <v xml:space="preserve"> NARASIMHANAYAKA D</v>
      </c>
      <c r="M40" s="241">
        <f t="shared" si="0"/>
        <v>13</v>
      </c>
      <c r="N40" s="292">
        <f t="shared" si="1"/>
        <v>0.76470588235294112</v>
      </c>
      <c r="O40" s="265" t="str">
        <f t="shared" si="2"/>
        <v>Y</v>
      </c>
      <c r="P40" s="241">
        <f t="shared" si="3"/>
        <v>4</v>
      </c>
      <c r="Q40" s="272">
        <f t="shared" si="4"/>
        <v>0.5</v>
      </c>
      <c r="R40" s="264" t="str">
        <f t="shared" si="5"/>
        <v>N</v>
      </c>
    </row>
    <row r="41" spans="2:18" s="64" customFormat="1" ht="20.100000000000001" customHeight="1">
      <c r="B41" s="263">
        <v>27</v>
      </c>
      <c r="C41" s="244" t="str">
        <f>'Student Details'!D39</f>
        <v xml:space="preserve"> 16EE037</v>
      </c>
      <c r="D41" s="244" t="str">
        <f>'Student Details'!E39</f>
        <v xml:space="preserve"> NIKHIL H M</v>
      </c>
      <c r="E41">
        <v>3</v>
      </c>
      <c r="F41">
        <v>8</v>
      </c>
      <c r="G41">
        <v>3</v>
      </c>
      <c r="H41">
        <v>4</v>
      </c>
      <c r="I41" s="238"/>
      <c r="J41" s="239">
        <v>27</v>
      </c>
      <c r="K41" s="240" t="str">
        <f>'Student Details'!D39</f>
        <v xml:space="preserve"> 16EE037</v>
      </c>
      <c r="L41" s="240" t="str">
        <f>'Student Details'!E39</f>
        <v xml:space="preserve"> NIKHIL H M</v>
      </c>
      <c r="M41" s="241">
        <f t="shared" si="0"/>
        <v>14</v>
      </c>
      <c r="N41" s="292">
        <f t="shared" si="1"/>
        <v>0.82352941176470584</v>
      </c>
      <c r="O41" s="265" t="str">
        <f t="shared" si="2"/>
        <v>Y</v>
      </c>
      <c r="P41" s="241">
        <f t="shared" si="3"/>
        <v>4</v>
      </c>
      <c r="Q41" s="272">
        <f t="shared" si="4"/>
        <v>0.5</v>
      </c>
      <c r="R41" s="264" t="str">
        <f t="shared" si="5"/>
        <v>N</v>
      </c>
    </row>
    <row r="42" spans="2:18" s="64" customFormat="1" ht="20.100000000000001" customHeight="1">
      <c r="B42" s="263">
        <v>28</v>
      </c>
      <c r="C42" s="244" t="str">
        <f>'Student Details'!D40</f>
        <v xml:space="preserve"> 16EE038</v>
      </c>
      <c r="D42" s="244" t="str">
        <f>'Student Details'!E40</f>
        <v xml:space="preserve"> NITHIN N GUJJAR</v>
      </c>
      <c r="E42">
        <v>2</v>
      </c>
      <c r="F42">
        <v>8</v>
      </c>
      <c r="G42">
        <v>3</v>
      </c>
      <c r="H42"/>
      <c r="I42" s="238"/>
      <c r="J42" s="239">
        <v>28</v>
      </c>
      <c r="K42" s="240" t="str">
        <f>'Student Details'!D40</f>
        <v xml:space="preserve"> 16EE038</v>
      </c>
      <c r="L42" s="240" t="str">
        <f>'Student Details'!E40</f>
        <v xml:space="preserve"> NITHIN N GUJJAR</v>
      </c>
      <c r="M42" s="241">
        <f t="shared" si="0"/>
        <v>13</v>
      </c>
      <c r="N42" s="292">
        <f t="shared" si="1"/>
        <v>0.76470588235294112</v>
      </c>
      <c r="O42" s="265" t="str">
        <f t="shared" si="2"/>
        <v>Y</v>
      </c>
      <c r="P42" s="241" t="str">
        <f t="shared" si="3"/>
        <v>NA</v>
      </c>
      <c r="Q42" s="272" t="str">
        <f t="shared" si="4"/>
        <v>NA</v>
      </c>
      <c r="R42" s="264" t="str">
        <f t="shared" si="5"/>
        <v>NA</v>
      </c>
    </row>
    <row r="43" spans="2:18" s="64" customFormat="1" ht="20.100000000000001" customHeight="1">
      <c r="B43" s="263">
        <v>29</v>
      </c>
      <c r="C43" s="244" t="str">
        <f>'Student Details'!D41</f>
        <v xml:space="preserve"> 16EE039</v>
      </c>
      <c r="D43" s="244" t="str">
        <f>'Student Details'!E41</f>
        <v xml:space="preserve"> NITHIN GOWDA B N</v>
      </c>
      <c r="E43">
        <v>3</v>
      </c>
      <c r="F43">
        <v>4</v>
      </c>
      <c r="G43">
        <v>3</v>
      </c>
      <c r="H43">
        <v>4</v>
      </c>
      <c r="I43" s="238"/>
      <c r="J43" s="239">
        <v>29</v>
      </c>
      <c r="K43" s="240" t="str">
        <f>'Student Details'!D41</f>
        <v xml:space="preserve"> 16EE039</v>
      </c>
      <c r="L43" s="240" t="str">
        <f>'Student Details'!E41</f>
        <v xml:space="preserve"> NITHIN GOWDA B N</v>
      </c>
      <c r="M43" s="241">
        <f t="shared" si="0"/>
        <v>10</v>
      </c>
      <c r="N43" s="292">
        <f t="shared" si="1"/>
        <v>0.58823529411764708</v>
      </c>
      <c r="O43" s="265" t="str">
        <f t="shared" si="2"/>
        <v>N</v>
      </c>
      <c r="P43" s="241">
        <f t="shared" si="3"/>
        <v>4</v>
      </c>
      <c r="Q43" s="272">
        <f t="shared" si="4"/>
        <v>0.5</v>
      </c>
      <c r="R43" s="264" t="str">
        <f t="shared" si="5"/>
        <v>N</v>
      </c>
    </row>
    <row r="44" spans="2:18" s="64" customFormat="1" ht="20.100000000000001" customHeight="1">
      <c r="B44" s="263">
        <v>30</v>
      </c>
      <c r="C44" s="244" t="str">
        <f>'Student Details'!D42</f>
        <v xml:space="preserve"> 16EE042</v>
      </c>
      <c r="D44" s="244" t="str">
        <f>'Student Details'!E42</f>
        <v xml:space="preserve"> RAKSHITHA T U</v>
      </c>
      <c r="E44">
        <v>4</v>
      </c>
      <c r="F44">
        <v>4</v>
      </c>
      <c r="G44">
        <v>3</v>
      </c>
      <c r="H44">
        <v>4</v>
      </c>
      <c r="I44" s="238"/>
      <c r="J44" s="239">
        <v>30</v>
      </c>
      <c r="K44" s="240" t="str">
        <f>'Student Details'!D42</f>
        <v xml:space="preserve"> 16EE042</v>
      </c>
      <c r="L44" s="240" t="str">
        <f>'Student Details'!E42</f>
        <v xml:space="preserve"> RAKSHITHA T U</v>
      </c>
      <c r="M44" s="241">
        <f t="shared" si="0"/>
        <v>11</v>
      </c>
      <c r="N44" s="292">
        <f t="shared" si="1"/>
        <v>0.6470588235294118</v>
      </c>
      <c r="O44" s="265" t="str">
        <f t="shared" si="2"/>
        <v>Y</v>
      </c>
      <c r="P44" s="241">
        <f t="shared" si="3"/>
        <v>4</v>
      </c>
      <c r="Q44" s="272">
        <f t="shared" si="4"/>
        <v>0.5</v>
      </c>
      <c r="R44" s="264" t="str">
        <f t="shared" si="5"/>
        <v>N</v>
      </c>
    </row>
    <row r="45" spans="2:18" s="64" customFormat="1" ht="20.100000000000001" customHeight="1">
      <c r="B45" s="263">
        <v>31</v>
      </c>
      <c r="C45" s="244" t="str">
        <f>'Student Details'!D43</f>
        <v xml:space="preserve"> 16EE043</v>
      </c>
      <c r="D45" s="244" t="str">
        <f>'Student Details'!E43</f>
        <v xml:space="preserve"> RAMKUMAR K M</v>
      </c>
      <c r="E45"/>
      <c r="F45">
        <v>4</v>
      </c>
      <c r="G45">
        <v>2</v>
      </c>
      <c r="H45">
        <v>4</v>
      </c>
      <c r="I45" s="238"/>
      <c r="J45" s="239">
        <v>31</v>
      </c>
      <c r="K45" s="240" t="str">
        <f>'Student Details'!D43</f>
        <v xml:space="preserve"> 16EE043</v>
      </c>
      <c r="L45" s="240" t="str">
        <f>'Student Details'!E43</f>
        <v xml:space="preserve"> RAMKUMAR K M</v>
      </c>
      <c r="M45" s="241">
        <f t="shared" si="0"/>
        <v>6</v>
      </c>
      <c r="N45" s="292">
        <f t="shared" si="1"/>
        <v>0.46153846153846156</v>
      </c>
      <c r="O45" s="265" t="str">
        <f t="shared" si="2"/>
        <v>N</v>
      </c>
      <c r="P45" s="241">
        <f t="shared" si="3"/>
        <v>4</v>
      </c>
      <c r="Q45" s="272">
        <f t="shared" si="4"/>
        <v>0.5</v>
      </c>
      <c r="R45" s="264" t="str">
        <f t="shared" si="5"/>
        <v>N</v>
      </c>
    </row>
    <row r="46" spans="2:18" s="64" customFormat="1" ht="20.100000000000001" customHeight="1">
      <c r="B46" s="263">
        <v>32</v>
      </c>
      <c r="C46" s="244" t="str">
        <f>'Student Details'!D44</f>
        <v xml:space="preserve"> 16EE045</v>
      </c>
      <c r="D46" s="244" t="str">
        <f>'Student Details'!E44</f>
        <v xml:space="preserve"> RENUKA K</v>
      </c>
      <c r="E46">
        <v>4</v>
      </c>
      <c r="F46">
        <v>7</v>
      </c>
      <c r="G46">
        <v>3</v>
      </c>
      <c r="H46">
        <v>5</v>
      </c>
      <c r="I46" s="238"/>
      <c r="J46" s="239">
        <v>32</v>
      </c>
      <c r="K46" s="240" t="str">
        <f>'Student Details'!D44</f>
        <v xml:space="preserve"> 16EE045</v>
      </c>
      <c r="L46" s="240" t="str">
        <f>'Student Details'!E44</f>
        <v xml:space="preserve"> RENUKA K</v>
      </c>
      <c r="M46" s="241">
        <f t="shared" si="0"/>
        <v>14</v>
      </c>
      <c r="N46" s="292">
        <f t="shared" si="1"/>
        <v>0.82352941176470584</v>
      </c>
      <c r="O46" s="265" t="str">
        <f t="shared" si="2"/>
        <v>Y</v>
      </c>
      <c r="P46" s="241">
        <f t="shared" si="3"/>
        <v>5</v>
      </c>
      <c r="Q46" s="272">
        <f t="shared" si="4"/>
        <v>0.625</v>
      </c>
      <c r="R46" s="264" t="str">
        <f t="shared" si="5"/>
        <v>Y</v>
      </c>
    </row>
    <row r="47" spans="2:18" s="64" customFormat="1" ht="20.100000000000001" customHeight="1">
      <c r="B47" s="263">
        <v>33</v>
      </c>
      <c r="C47" s="244" t="str">
        <f>'Student Details'!D45</f>
        <v xml:space="preserve"> 16EE046</v>
      </c>
      <c r="D47" s="244" t="str">
        <f>'Student Details'!E45</f>
        <v xml:space="preserve"> RESHMA</v>
      </c>
      <c r="E47"/>
      <c r="F47">
        <v>6</v>
      </c>
      <c r="G47">
        <v>3</v>
      </c>
      <c r="H47">
        <v>4</v>
      </c>
      <c r="I47" s="238"/>
      <c r="J47" s="239">
        <v>33</v>
      </c>
      <c r="K47" s="240" t="str">
        <f>'Student Details'!D45</f>
        <v xml:space="preserve"> 16EE046</v>
      </c>
      <c r="L47" s="240" t="str">
        <f>'Student Details'!E45</f>
        <v xml:space="preserve"> RESHMA</v>
      </c>
      <c r="M47" s="241">
        <f t="shared" ref="M47:M75" si="6">IF(SUM(E47,F47,G47)=0,"NA",SUM(E47,F47,G47))</f>
        <v>9</v>
      </c>
      <c r="N47" s="292">
        <f t="shared" si="1"/>
        <v>0.69230769230769229</v>
      </c>
      <c r="O47" s="265" t="str">
        <f t="shared" ref="O47:O75" si="7">IF(N47="NA","NA",IF(N47="","",IF(N47&gt;=$O$14,"Y","N")))</f>
        <v>Y</v>
      </c>
      <c r="P47" s="241">
        <f t="shared" ref="P47:P75" si="8">IF(SUM(H47)=0,"NA",SUM(H47))</f>
        <v>4</v>
      </c>
      <c r="Q47" s="272">
        <f t="shared" ref="Q47:Q75" si="9">IF(P47="NA","NA",IF(P47/(SUM(IF(H47&gt;0,$H$14,0)))=0,"",P47/(SUM(IF(H47&gt;0,$H$14,0)))))</f>
        <v>0.5</v>
      </c>
      <c r="R47" s="264" t="str">
        <f t="shared" ref="R47:R75" si="10">IF(Q47="NA","NA",IF(Q47="","",IF(Q47&gt;=$R$14,"Y","N")))</f>
        <v>N</v>
      </c>
    </row>
    <row r="48" spans="2:18" s="64" customFormat="1" ht="20.100000000000001" customHeight="1">
      <c r="B48" s="263">
        <v>34</v>
      </c>
      <c r="C48" s="244" t="str">
        <f>'Student Details'!D46</f>
        <v xml:space="preserve"> 16EE047</v>
      </c>
      <c r="D48" s="244" t="str">
        <f>'Student Details'!E46</f>
        <v xml:space="preserve"> SAHINABEGAUM NADAF</v>
      </c>
      <c r="E48">
        <v>2</v>
      </c>
      <c r="F48">
        <v>5</v>
      </c>
      <c r="G48">
        <v>3</v>
      </c>
      <c r="H48">
        <v>7</v>
      </c>
      <c r="I48" s="238"/>
      <c r="J48" s="239">
        <v>34</v>
      </c>
      <c r="K48" s="240" t="str">
        <f>'Student Details'!D46</f>
        <v xml:space="preserve"> 16EE047</v>
      </c>
      <c r="L48" s="240" t="str">
        <f>'Student Details'!E46</f>
        <v xml:space="preserve"> SAHINABEGAUM NADAF</v>
      </c>
      <c r="M48" s="241">
        <f t="shared" si="6"/>
        <v>10</v>
      </c>
      <c r="N48" s="292">
        <f t="shared" si="1"/>
        <v>0.58823529411764708</v>
      </c>
      <c r="O48" s="265" t="str">
        <f t="shared" si="7"/>
        <v>N</v>
      </c>
      <c r="P48" s="241">
        <f t="shared" si="8"/>
        <v>7</v>
      </c>
      <c r="Q48" s="272">
        <f t="shared" si="9"/>
        <v>0.875</v>
      </c>
      <c r="R48" s="264" t="str">
        <f t="shared" si="10"/>
        <v>Y</v>
      </c>
    </row>
    <row r="49" spans="2:18" s="64" customFormat="1" ht="20.100000000000001" customHeight="1">
      <c r="B49" s="263">
        <v>35</v>
      </c>
      <c r="C49" s="244" t="str">
        <f>'Student Details'!D47</f>
        <v xml:space="preserve"> 16EE048</v>
      </c>
      <c r="D49" s="244" t="str">
        <f>'Student Details'!E47</f>
        <v xml:space="preserve"> SANDEEP KUMAR MURMU</v>
      </c>
      <c r="E49">
        <v>3</v>
      </c>
      <c r="F49">
        <v>8</v>
      </c>
      <c r="G49">
        <v>3</v>
      </c>
      <c r="H49">
        <v>6</v>
      </c>
      <c r="I49" s="238"/>
      <c r="J49" s="239">
        <v>35</v>
      </c>
      <c r="K49" s="240" t="str">
        <f>'Student Details'!D47</f>
        <v xml:space="preserve"> 16EE048</v>
      </c>
      <c r="L49" s="240" t="str">
        <f>'Student Details'!E47</f>
        <v xml:space="preserve"> SANDEEP KUMAR MURMU</v>
      </c>
      <c r="M49" s="241">
        <f t="shared" si="6"/>
        <v>14</v>
      </c>
      <c r="N49" s="292">
        <f t="shared" si="1"/>
        <v>0.82352941176470584</v>
      </c>
      <c r="O49" s="265" t="str">
        <f t="shared" si="7"/>
        <v>Y</v>
      </c>
      <c r="P49" s="241">
        <f t="shared" si="8"/>
        <v>6</v>
      </c>
      <c r="Q49" s="272">
        <f t="shared" si="9"/>
        <v>0.75</v>
      </c>
      <c r="R49" s="264" t="str">
        <f t="shared" si="10"/>
        <v>Y</v>
      </c>
    </row>
    <row r="50" spans="2:18" s="64" customFormat="1" ht="20.100000000000001" customHeight="1">
      <c r="B50" s="263">
        <v>36</v>
      </c>
      <c r="C50" s="244" t="str">
        <f>'Student Details'!D48</f>
        <v xml:space="preserve"> 16EE049</v>
      </c>
      <c r="D50" s="244" t="str">
        <f>'Student Details'!E48</f>
        <v xml:space="preserve"> SHARIKA</v>
      </c>
      <c r="E50">
        <v>4</v>
      </c>
      <c r="F50">
        <v>5</v>
      </c>
      <c r="G50">
        <v>3</v>
      </c>
      <c r="H50">
        <v>4</v>
      </c>
      <c r="I50" s="238"/>
      <c r="J50" s="239">
        <v>36</v>
      </c>
      <c r="K50" s="240" t="str">
        <f>'Student Details'!D48</f>
        <v xml:space="preserve"> 16EE049</v>
      </c>
      <c r="L50" s="240" t="str">
        <f>'Student Details'!E48</f>
        <v xml:space="preserve"> SHARIKA</v>
      </c>
      <c r="M50" s="241">
        <f t="shared" si="6"/>
        <v>12</v>
      </c>
      <c r="N50" s="292">
        <f t="shared" si="1"/>
        <v>0.70588235294117652</v>
      </c>
      <c r="O50" s="265" t="str">
        <f t="shared" si="7"/>
        <v>Y</v>
      </c>
      <c r="P50" s="241">
        <f t="shared" si="8"/>
        <v>4</v>
      </c>
      <c r="Q50" s="272">
        <f t="shared" si="9"/>
        <v>0.5</v>
      </c>
      <c r="R50" s="264" t="str">
        <f t="shared" si="10"/>
        <v>N</v>
      </c>
    </row>
    <row r="51" spans="2:18" s="64" customFormat="1" ht="20.100000000000001" customHeight="1">
      <c r="B51" s="263">
        <v>37</v>
      </c>
      <c r="C51" s="244" t="str">
        <f>'Student Details'!D49</f>
        <v xml:space="preserve"> 16EE050</v>
      </c>
      <c r="D51" s="244" t="str">
        <f>'Student Details'!E49</f>
        <v xml:space="preserve"> SHWETHA R JAGADALE</v>
      </c>
      <c r="E51">
        <v>2</v>
      </c>
      <c r="F51">
        <v>8</v>
      </c>
      <c r="G51">
        <v>3</v>
      </c>
      <c r="H51">
        <v>7</v>
      </c>
      <c r="I51" s="238"/>
      <c r="J51" s="239">
        <v>37</v>
      </c>
      <c r="K51" s="240" t="str">
        <f>'Student Details'!D49</f>
        <v xml:space="preserve"> 16EE050</v>
      </c>
      <c r="L51" s="240" t="str">
        <f>'Student Details'!E49</f>
        <v xml:space="preserve"> SHWETHA R JAGADALE</v>
      </c>
      <c r="M51" s="241">
        <f t="shared" si="6"/>
        <v>13</v>
      </c>
      <c r="N51" s="292">
        <f t="shared" si="1"/>
        <v>0.76470588235294112</v>
      </c>
      <c r="O51" s="265" t="str">
        <f t="shared" si="7"/>
        <v>Y</v>
      </c>
      <c r="P51" s="241">
        <f t="shared" si="8"/>
        <v>7</v>
      </c>
      <c r="Q51" s="272">
        <f t="shared" si="9"/>
        <v>0.875</v>
      </c>
      <c r="R51" s="264" t="str">
        <f t="shared" si="10"/>
        <v>Y</v>
      </c>
    </row>
    <row r="52" spans="2:18" s="64" customFormat="1" ht="20.100000000000001" customHeight="1">
      <c r="B52" s="263">
        <v>38</v>
      </c>
      <c r="C52" s="244" t="str">
        <f>'Student Details'!D50</f>
        <v xml:space="preserve"> 16EE051</v>
      </c>
      <c r="D52" s="244" t="str">
        <f>'Student Details'!E50</f>
        <v xml:space="preserve"> SUCHITRA</v>
      </c>
      <c r="E52">
        <v>2</v>
      </c>
      <c r="F52">
        <v>4</v>
      </c>
      <c r="G52">
        <v>3</v>
      </c>
      <c r="H52">
        <v>4</v>
      </c>
      <c r="I52" s="238"/>
      <c r="J52" s="239">
        <v>38</v>
      </c>
      <c r="K52" s="240" t="str">
        <f>'Student Details'!D50</f>
        <v xml:space="preserve"> 16EE051</v>
      </c>
      <c r="L52" s="240" t="str">
        <f>'Student Details'!E50</f>
        <v xml:space="preserve"> SUCHITRA</v>
      </c>
      <c r="M52" s="241">
        <f t="shared" si="6"/>
        <v>9</v>
      </c>
      <c r="N52" s="292">
        <f t="shared" si="1"/>
        <v>0.52941176470588236</v>
      </c>
      <c r="O52" s="265" t="str">
        <f t="shared" si="7"/>
        <v>N</v>
      </c>
      <c r="P52" s="241">
        <f t="shared" si="8"/>
        <v>4</v>
      </c>
      <c r="Q52" s="272">
        <f t="shared" si="9"/>
        <v>0.5</v>
      </c>
      <c r="R52" s="264" t="str">
        <f t="shared" si="10"/>
        <v>N</v>
      </c>
    </row>
    <row r="53" spans="2:18" s="64" customFormat="1" ht="20.100000000000001" customHeight="1">
      <c r="B53" s="263">
        <v>39</v>
      </c>
      <c r="C53" s="244" t="str">
        <f>'Student Details'!D51</f>
        <v xml:space="preserve"> 16EE052</v>
      </c>
      <c r="D53" s="244" t="str">
        <f>'Student Details'!E51</f>
        <v xml:space="preserve"> SWATHI RAMESH R</v>
      </c>
      <c r="E53">
        <v>2</v>
      </c>
      <c r="F53">
        <v>3</v>
      </c>
      <c r="G53">
        <v>3</v>
      </c>
      <c r="H53">
        <v>3</v>
      </c>
      <c r="I53" s="238"/>
      <c r="J53" s="239">
        <v>39</v>
      </c>
      <c r="K53" s="240" t="str">
        <f>'Student Details'!D51</f>
        <v xml:space="preserve"> 16EE052</v>
      </c>
      <c r="L53" s="240" t="str">
        <f>'Student Details'!E51</f>
        <v xml:space="preserve"> SWATHI RAMESH R</v>
      </c>
      <c r="M53" s="241">
        <f t="shared" si="6"/>
        <v>8</v>
      </c>
      <c r="N53" s="292">
        <f t="shared" si="1"/>
        <v>0.47058823529411764</v>
      </c>
      <c r="O53" s="265" t="str">
        <f t="shared" si="7"/>
        <v>N</v>
      </c>
      <c r="P53" s="241">
        <f t="shared" si="8"/>
        <v>3</v>
      </c>
      <c r="Q53" s="272">
        <f t="shared" si="9"/>
        <v>0.375</v>
      </c>
      <c r="R53" s="264" t="str">
        <f t="shared" si="10"/>
        <v>N</v>
      </c>
    </row>
    <row r="54" spans="2:18" s="64" customFormat="1" ht="20.100000000000001" customHeight="1">
      <c r="B54" s="263">
        <v>40</v>
      </c>
      <c r="C54" s="244" t="str">
        <f>'Student Details'!D52</f>
        <v xml:space="preserve"> 16EE053</v>
      </c>
      <c r="D54" s="244" t="str">
        <f>'Student Details'!E52</f>
        <v xml:space="preserve"> TABREZ ALLAM</v>
      </c>
      <c r="E54">
        <v>0</v>
      </c>
      <c r="F54">
        <v>1</v>
      </c>
      <c r="G54">
        <v>2</v>
      </c>
      <c r="H54">
        <v>4</v>
      </c>
      <c r="I54" s="238"/>
      <c r="J54" s="239">
        <v>40</v>
      </c>
      <c r="K54" s="240" t="str">
        <f>'Student Details'!D52</f>
        <v xml:space="preserve"> 16EE053</v>
      </c>
      <c r="L54" s="240" t="str">
        <f>'Student Details'!E52</f>
        <v xml:space="preserve"> TABREZ ALLAM</v>
      </c>
      <c r="M54" s="241">
        <f t="shared" si="6"/>
        <v>3</v>
      </c>
      <c r="N54" s="292">
        <f t="shared" si="1"/>
        <v>0.23076923076923078</v>
      </c>
      <c r="O54" s="265" t="str">
        <f t="shared" si="7"/>
        <v>N</v>
      </c>
      <c r="P54" s="241">
        <f t="shared" si="8"/>
        <v>4</v>
      </c>
      <c r="Q54" s="272">
        <f t="shared" si="9"/>
        <v>0.5</v>
      </c>
      <c r="R54" s="264" t="str">
        <f t="shared" si="10"/>
        <v>N</v>
      </c>
    </row>
    <row r="55" spans="2:18" s="64" customFormat="1" ht="20.100000000000001" customHeight="1">
      <c r="B55" s="263">
        <v>41</v>
      </c>
      <c r="C55" s="244" t="str">
        <f>'Student Details'!D53</f>
        <v xml:space="preserve"> 16EE054</v>
      </c>
      <c r="D55" s="244" t="str">
        <f>'Student Details'!E53</f>
        <v xml:space="preserve"> VENKATESH H</v>
      </c>
      <c r="E55">
        <v>4</v>
      </c>
      <c r="F55">
        <v>5</v>
      </c>
      <c r="G55">
        <v>2</v>
      </c>
      <c r="H55">
        <v>4</v>
      </c>
      <c r="I55" s="238"/>
      <c r="J55" s="239">
        <v>41</v>
      </c>
      <c r="K55" s="240" t="str">
        <f>'Student Details'!D53</f>
        <v xml:space="preserve"> 16EE054</v>
      </c>
      <c r="L55" s="240" t="str">
        <f>'Student Details'!E53</f>
        <v xml:space="preserve"> VENKATESH H</v>
      </c>
      <c r="M55" s="241">
        <f t="shared" si="6"/>
        <v>11</v>
      </c>
      <c r="N55" s="292">
        <f t="shared" si="1"/>
        <v>0.6470588235294118</v>
      </c>
      <c r="O55" s="265" t="str">
        <f t="shared" si="7"/>
        <v>Y</v>
      </c>
      <c r="P55" s="241">
        <f t="shared" si="8"/>
        <v>4</v>
      </c>
      <c r="Q55" s="272">
        <f t="shared" si="9"/>
        <v>0.5</v>
      </c>
      <c r="R55" s="264" t="str">
        <f t="shared" si="10"/>
        <v>N</v>
      </c>
    </row>
    <row r="56" spans="2:18" s="64" customFormat="1" ht="20.100000000000001" customHeight="1">
      <c r="B56" s="263">
        <v>42</v>
      </c>
      <c r="C56" s="244" t="str">
        <f>'Student Details'!D54</f>
        <v xml:space="preserve"> 16EE055</v>
      </c>
      <c r="D56" s="244" t="str">
        <f>'Student Details'!E54</f>
        <v xml:space="preserve"> VIDYA I K</v>
      </c>
      <c r="E56">
        <v>0</v>
      </c>
      <c r="F56">
        <v>4</v>
      </c>
      <c r="G56">
        <v>2</v>
      </c>
      <c r="H56">
        <v>1</v>
      </c>
      <c r="I56" s="238"/>
      <c r="J56" s="239">
        <v>42</v>
      </c>
      <c r="K56" s="240" t="str">
        <f>'Student Details'!D54</f>
        <v xml:space="preserve"> 16EE055</v>
      </c>
      <c r="L56" s="240" t="str">
        <f>'Student Details'!E54</f>
        <v xml:space="preserve"> VIDYA I K</v>
      </c>
      <c r="M56" s="241">
        <f t="shared" si="6"/>
        <v>6</v>
      </c>
      <c r="N56" s="292">
        <f t="shared" si="1"/>
        <v>0.46153846153846156</v>
      </c>
      <c r="O56" s="265" t="str">
        <f t="shared" si="7"/>
        <v>N</v>
      </c>
      <c r="P56" s="241">
        <f t="shared" si="8"/>
        <v>1</v>
      </c>
      <c r="Q56" s="272">
        <f t="shared" si="9"/>
        <v>0.125</v>
      </c>
      <c r="R56" s="264" t="str">
        <f t="shared" si="10"/>
        <v>N</v>
      </c>
    </row>
    <row r="57" spans="2:18" s="64" customFormat="1" ht="20.100000000000001" customHeight="1">
      <c r="B57" s="263">
        <v>43</v>
      </c>
      <c r="C57" s="244" t="str">
        <f>'Student Details'!D55</f>
        <v xml:space="preserve"> 16EE056</v>
      </c>
      <c r="D57" s="244" t="str">
        <f>'Student Details'!E55</f>
        <v xml:space="preserve"> YAMUNA S R</v>
      </c>
      <c r="E57">
        <v>4</v>
      </c>
      <c r="F57">
        <v>10</v>
      </c>
      <c r="G57">
        <v>3</v>
      </c>
      <c r="H57">
        <v>7</v>
      </c>
      <c r="I57" s="238"/>
      <c r="J57" s="239">
        <v>43</v>
      </c>
      <c r="K57" s="240" t="str">
        <f>'Student Details'!D55</f>
        <v xml:space="preserve"> 16EE056</v>
      </c>
      <c r="L57" s="240" t="str">
        <f>'Student Details'!E55</f>
        <v xml:space="preserve"> YAMUNA S R</v>
      </c>
      <c r="M57" s="241">
        <f t="shared" si="6"/>
        <v>17</v>
      </c>
      <c r="N57" s="292">
        <f t="shared" si="1"/>
        <v>1</v>
      </c>
      <c r="O57" s="265" t="str">
        <f t="shared" si="7"/>
        <v>Y</v>
      </c>
      <c r="P57" s="241">
        <f t="shared" si="8"/>
        <v>7</v>
      </c>
      <c r="Q57" s="272">
        <f t="shared" si="9"/>
        <v>0.875</v>
      </c>
      <c r="R57" s="264" t="str">
        <f t="shared" si="10"/>
        <v>Y</v>
      </c>
    </row>
    <row r="58" spans="2:18" s="64" customFormat="1" ht="20.100000000000001" customHeight="1">
      <c r="B58" s="263">
        <v>44</v>
      </c>
      <c r="C58" s="244" t="str">
        <f>'Student Details'!D56</f>
        <v xml:space="preserve"> 16EE061</v>
      </c>
      <c r="D58" s="244" t="str">
        <f>'Student Details'!E56</f>
        <v xml:space="preserve"> NAYANA T A</v>
      </c>
      <c r="E58">
        <v>2</v>
      </c>
      <c r="F58">
        <v>8</v>
      </c>
      <c r="G58">
        <v>3</v>
      </c>
      <c r="H58">
        <v>4</v>
      </c>
      <c r="I58" s="238"/>
      <c r="J58" s="239">
        <v>44</v>
      </c>
      <c r="K58" s="240" t="str">
        <f>'Student Details'!D56</f>
        <v xml:space="preserve"> 16EE061</v>
      </c>
      <c r="L58" s="240" t="str">
        <f>'Student Details'!E56</f>
        <v xml:space="preserve"> NAYANA T A</v>
      </c>
      <c r="M58" s="241">
        <f t="shared" si="6"/>
        <v>13</v>
      </c>
      <c r="N58" s="292">
        <f t="shared" si="1"/>
        <v>0.76470588235294112</v>
      </c>
      <c r="O58" s="265" t="str">
        <f t="shared" si="7"/>
        <v>Y</v>
      </c>
      <c r="P58" s="241">
        <f t="shared" si="8"/>
        <v>4</v>
      </c>
      <c r="Q58" s="272">
        <f t="shared" si="9"/>
        <v>0.5</v>
      </c>
      <c r="R58" s="264" t="str">
        <f t="shared" si="10"/>
        <v>N</v>
      </c>
    </row>
    <row r="59" spans="2:18" s="64" customFormat="1" ht="20.100000000000001" customHeight="1">
      <c r="B59" s="263">
        <v>45</v>
      </c>
      <c r="C59" s="244" t="str">
        <f>'Student Details'!D57</f>
        <v xml:space="preserve"> 16EE062</v>
      </c>
      <c r="D59" s="244" t="str">
        <f>'Student Details'!E57</f>
        <v xml:space="preserve"> AISHWARIYA</v>
      </c>
      <c r="E59">
        <v>4</v>
      </c>
      <c r="F59">
        <v>9</v>
      </c>
      <c r="G59">
        <v>3</v>
      </c>
      <c r="H59">
        <v>5</v>
      </c>
      <c r="I59" s="238"/>
      <c r="J59" s="239">
        <v>45</v>
      </c>
      <c r="K59" s="240" t="str">
        <f>'Student Details'!D57</f>
        <v xml:space="preserve"> 16EE062</v>
      </c>
      <c r="L59" s="240" t="str">
        <f>'Student Details'!E57</f>
        <v xml:space="preserve"> AISHWARIYA</v>
      </c>
      <c r="M59" s="241">
        <f t="shared" si="6"/>
        <v>16</v>
      </c>
      <c r="N59" s="292">
        <f t="shared" si="1"/>
        <v>0.94117647058823528</v>
      </c>
      <c r="O59" s="265" t="str">
        <f t="shared" si="7"/>
        <v>Y</v>
      </c>
      <c r="P59" s="241">
        <f t="shared" si="8"/>
        <v>5</v>
      </c>
      <c r="Q59" s="272">
        <f t="shared" si="9"/>
        <v>0.625</v>
      </c>
      <c r="R59" s="264" t="str">
        <f t="shared" si="10"/>
        <v>Y</v>
      </c>
    </row>
    <row r="60" spans="2:18" s="64" customFormat="1" ht="20.100000000000001" customHeight="1">
      <c r="B60" s="263">
        <v>46</v>
      </c>
      <c r="C60" s="244" t="str">
        <f>'Student Details'!D58</f>
        <v xml:space="preserve"> 16EE063</v>
      </c>
      <c r="D60" s="244" t="str">
        <f>'Student Details'!E58</f>
        <v xml:space="preserve"> T N RANJEET</v>
      </c>
      <c r="E60">
        <v>1</v>
      </c>
      <c r="F60">
        <v>8</v>
      </c>
      <c r="G60">
        <v>3</v>
      </c>
      <c r="H60">
        <v>4</v>
      </c>
      <c r="I60" s="238"/>
      <c r="J60" s="239">
        <v>46</v>
      </c>
      <c r="K60" s="240" t="str">
        <f>'Student Details'!D58</f>
        <v xml:space="preserve"> 16EE063</v>
      </c>
      <c r="L60" s="240" t="str">
        <f>'Student Details'!E58</f>
        <v xml:space="preserve"> T N RANJEET</v>
      </c>
      <c r="M60" s="241">
        <f t="shared" si="6"/>
        <v>12</v>
      </c>
      <c r="N60" s="292">
        <f t="shared" si="1"/>
        <v>0.70588235294117652</v>
      </c>
      <c r="O60" s="265" t="str">
        <f t="shared" si="7"/>
        <v>Y</v>
      </c>
      <c r="P60" s="241">
        <f t="shared" si="8"/>
        <v>4</v>
      </c>
      <c r="Q60" s="272">
        <f t="shared" si="9"/>
        <v>0.5</v>
      </c>
      <c r="R60" s="264" t="str">
        <f t="shared" si="10"/>
        <v>N</v>
      </c>
    </row>
    <row r="61" spans="2:18" s="64" customFormat="1" ht="20.100000000000001" customHeight="1">
      <c r="B61" s="263">
        <v>47</v>
      </c>
      <c r="C61" s="244" t="str">
        <f>'Student Details'!D59</f>
        <v xml:space="preserve"> 16EE064</v>
      </c>
      <c r="D61" s="244" t="str">
        <f>'Student Details'!E59</f>
        <v xml:space="preserve"> VIDYASHRI S</v>
      </c>
      <c r="E61">
        <v>0</v>
      </c>
      <c r="F61">
        <v>1</v>
      </c>
      <c r="G61">
        <v>3</v>
      </c>
      <c r="H61">
        <v>3</v>
      </c>
      <c r="I61" s="238"/>
      <c r="J61" s="239">
        <v>47</v>
      </c>
      <c r="K61" s="240" t="str">
        <f>'Student Details'!D59</f>
        <v xml:space="preserve"> 16EE064</v>
      </c>
      <c r="L61" s="240" t="str">
        <f>'Student Details'!E59</f>
        <v xml:space="preserve"> VIDYASHRI S</v>
      </c>
      <c r="M61" s="241">
        <f t="shared" si="6"/>
        <v>4</v>
      </c>
      <c r="N61" s="292">
        <f t="shared" si="1"/>
        <v>0.30769230769230771</v>
      </c>
      <c r="O61" s="265" t="str">
        <f t="shared" si="7"/>
        <v>N</v>
      </c>
      <c r="P61" s="241">
        <f t="shared" si="8"/>
        <v>3</v>
      </c>
      <c r="Q61" s="272">
        <f t="shared" si="9"/>
        <v>0.375</v>
      </c>
      <c r="R61" s="264" t="str">
        <f t="shared" si="10"/>
        <v>N</v>
      </c>
    </row>
    <row r="62" spans="2:18" s="64" customFormat="1" ht="20.100000000000001" customHeight="1">
      <c r="B62" s="263">
        <v>48</v>
      </c>
      <c r="C62" s="244" t="str">
        <f>'Student Details'!D60</f>
        <v xml:space="preserve"> 16EE409</v>
      </c>
      <c r="D62" s="244" t="str">
        <f>'Student Details'!E60</f>
        <v xml:space="preserve"> MANIKANTA HEGDE N</v>
      </c>
      <c r="E62"/>
      <c r="F62">
        <v>3</v>
      </c>
      <c r="G62">
        <v>2</v>
      </c>
      <c r="H62">
        <v>3</v>
      </c>
      <c r="I62" s="238"/>
      <c r="J62" s="239">
        <v>48</v>
      </c>
      <c r="K62" s="240" t="str">
        <f>'Student Details'!D60</f>
        <v xml:space="preserve"> 16EE409</v>
      </c>
      <c r="L62" s="240" t="str">
        <f>'Student Details'!E60</f>
        <v xml:space="preserve"> MANIKANTA HEGDE N</v>
      </c>
      <c r="M62" s="241">
        <f t="shared" si="6"/>
        <v>5</v>
      </c>
      <c r="N62" s="292">
        <f t="shared" si="1"/>
        <v>0.38461538461538464</v>
      </c>
      <c r="O62" s="265" t="str">
        <f t="shared" si="7"/>
        <v>N</v>
      </c>
      <c r="P62" s="241">
        <f t="shared" si="8"/>
        <v>3</v>
      </c>
      <c r="Q62" s="272">
        <f t="shared" si="9"/>
        <v>0.375</v>
      </c>
      <c r="R62" s="264" t="str">
        <f t="shared" si="10"/>
        <v>N</v>
      </c>
    </row>
    <row r="63" spans="2:18" s="64" customFormat="1" ht="20.100000000000001" customHeight="1">
      <c r="B63" s="263">
        <v>49</v>
      </c>
      <c r="C63" s="244" t="str">
        <f>'Student Details'!D61</f>
        <v xml:space="preserve"> 16EE410</v>
      </c>
      <c r="D63" s="244" t="str">
        <f>'Student Details'!E61</f>
        <v xml:space="preserve"> PADMA PRASAD K.L</v>
      </c>
      <c r="E63"/>
      <c r="F63">
        <v>2</v>
      </c>
      <c r="G63">
        <v>2</v>
      </c>
      <c r="H63">
        <v>4</v>
      </c>
      <c r="I63" s="238"/>
      <c r="J63" s="239">
        <v>49</v>
      </c>
      <c r="K63" s="240" t="str">
        <f>'Student Details'!D61</f>
        <v xml:space="preserve"> 16EE410</v>
      </c>
      <c r="L63" s="240" t="str">
        <f>'Student Details'!E61</f>
        <v xml:space="preserve"> PADMA PRASAD K.L</v>
      </c>
      <c r="M63" s="241">
        <f t="shared" si="6"/>
        <v>4</v>
      </c>
      <c r="N63" s="292">
        <f t="shared" si="1"/>
        <v>0.30769230769230771</v>
      </c>
      <c r="O63" s="265" t="str">
        <f t="shared" si="7"/>
        <v>N</v>
      </c>
      <c r="P63" s="241">
        <f t="shared" si="8"/>
        <v>4</v>
      </c>
      <c r="Q63" s="272">
        <f t="shared" si="9"/>
        <v>0.5</v>
      </c>
      <c r="R63" s="264" t="str">
        <f t="shared" si="10"/>
        <v>N</v>
      </c>
    </row>
    <row r="64" spans="2:18" s="64" customFormat="1" ht="20.100000000000001" customHeight="1">
      <c r="B64" s="263">
        <v>50</v>
      </c>
      <c r="C64" s="244" t="str">
        <f>'Student Details'!D62</f>
        <v xml:space="preserve"> 17EE400</v>
      </c>
      <c r="D64" s="244" t="str">
        <f>'Student Details'!E62</f>
        <v xml:space="preserve"> AKASH M</v>
      </c>
      <c r="E64">
        <v>0</v>
      </c>
      <c r="F64">
        <v>8</v>
      </c>
      <c r="G64">
        <v>2</v>
      </c>
      <c r="H64">
        <v>3</v>
      </c>
      <c r="I64" s="238"/>
      <c r="J64" s="239">
        <v>50</v>
      </c>
      <c r="K64" s="240" t="str">
        <f>'Student Details'!D62</f>
        <v xml:space="preserve"> 17EE400</v>
      </c>
      <c r="L64" s="240" t="str">
        <f>'Student Details'!E62</f>
        <v xml:space="preserve"> AKASH M</v>
      </c>
      <c r="M64" s="241">
        <f t="shared" si="6"/>
        <v>10</v>
      </c>
      <c r="N64" s="292">
        <f t="shared" si="1"/>
        <v>0.76923076923076927</v>
      </c>
      <c r="O64" s="265" t="str">
        <f t="shared" si="7"/>
        <v>Y</v>
      </c>
      <c r="P64" s="241">
        <f t="shared" si="8"/>
        <v>3</v>
      </c>
      <c r="Q64" s="272">
        <f t="shared" si="9"/>
        <v>0.375</v>
      </c>
      <c r="R64" s="264" t="str">
        <f t="shared" si="10"/>
        <v>N</v>
      </c>
    </row>
    <row r="65" spans="2:27" s="64" customFormat="1" ht="20.100000000000001" customHeight="1">
      <c r="B65" s="263">
        <v>51</v>
      </c>
      <c r="C65" s="244" t="str">
        <f>'Student Details'!D63</f>
        <v xml:space="preserve"> 17EE401</v>
      </c>
      <c r="D65" s="244" t="str">
        <f>'Student Details'!E63</f>
        <v xml:space="preserve"> AMITH MAHAGAVNKAR</v>
      </c>
      <c r="E65">
        <v>2</v>
      </c>
      <c r="F65">
        <v>8</v>
      </c>
      <c r="G65">
        <v>3</v>
      </c>
      <c r="H65">
        <v>7</v>
      </c>
      <c r="I65" s="238"/>
      <c r="J65" s="239">
        <v>51</v>
      </c>
      <c r="K65" s="240" t="str">
        <f>'Student Details'!D63</f>
        <v xml:space="preserve"> 17EE401</v>
      </c>
      <c r="L65" s="240" t="str">
        <f>'Student Details'!E63</f>
        <v xml:space="preserve"> AMITH MAHAGAVNKAR</v>
      </c>
      <c r="M65" s="241">
        <f t="shared" si="6"/>
        <v>13</v>
      </c>
      <c r="N65" s="292">
        <f t="shared" si="1"/>
        <v>0.76470588235294112</v>
      </c>
      <c r="O65" s="265" t="str">
        <f t="shared" si="7"/>
        <v>Y</v>
      </c>
      <c r="P65" s="241">
        <f t="shared" si="8"/>
        <v>7</v>
      </c>
      <c r="Q65" s="272">
        <f t="shared" si="9"/>
        <v>0.875</v>
      </c>
      <c r="R65" s="264" t="str">
        <f t="shared" si="10"/>
        <v>Y</v>
      </c>
    </row>
    <row r="66" spans="2:27" s="64" customFormat="1" ht="20.100000000000001" customHeight="1">
      <c r="B66" s="263">
        <v>52</v>
      </c>
      <c r="C66" s="244" t="str">
        <f>'Student Details'!D64</f>
        <v xml:space="preserve"> 17EE402</v>
      </c>
      <c r="D66" s="244" t="str">
        <f>'Student Details'!E64</f>
        <v xml:space="preserve"> DEVIKARANI M C</v>
      </c>
      <c r="E66">
        <v>3</v>
      </c>
      <c r="F66">
        <v>9</v>
      </c>
      <c r="G66">
        <v>3</v>
      </c>
      <c r="H66">
        <v>4</v>
      </c>
      <c r="I66" s="238"/>
      <c r="J66" s="239">
        <v>52</v>
      </c>
      <c r="K66" s="240" t="str">
        <f>'Student Details'!D64</f>
        <v xml:space="preserve"> 17EE402</v>
      </c>
      <c r="L66" s="240" t="str">
        <f>'Student Details'!E64</f>
        <v xml:space="preserve"> DEVIKARANI M C</v>
      </c>
      <c r="M66" s="241">
        <f t="shared" si="6"/>
        <v>15</v>
      </c>
      <c r="N66" s="292">
        <f t="shared" si="1"/>
        <v>0.88235294117647056</v>
      </c>
      <c r="O66" s="265" t="str">
        <f t="shared" si="7"/>
        <v>Y</v>
      </c>
      <c r="P66" s="241">
        <f t="shared" si="8"/>
        <v>4</v>
      </c>
      <c r="Q66" s="272">
        <f t="shared" si="9"/>
        <v>0.5</v>
      </c>
      <c r="R66" s="264" t="str">
        <f t="shared" si="10"/>
        <v>N</v>
      </c>
    </row>
    <row r="67" spans="2:27" s="64" customFormat="1" ht="20.100000000000001" customHeight="1">
      <c r="B67" s="263">
        <v>53</v>
      </c>
      <c r="C67" s="244" t="str">
        <f>'Student Details'!D65</f>
        <v xml:space="preserve"> 17EE403</v>
      </c>
      <c r="D67" s="244" t="str">
        <f>'Student Details'!E65</f>
        <v xml:space="preserve"> HAMSALEKHA V S</v>
      </c>
      <c r="E67">
        <v>2</v>
      </c>
      <c r="F67">
        <v>3</v>
      </c>
      <c r="G67">
        <v>3</v>
      </c>
      <c r="H67">
        <v>4</v>
      </c>
      <c r="I67" s="238"/>
      <c r="J67" s="239">
        <v>53</v>
      </c>
      <c r="K67" s="240" t="str">
        <f>'Student Details'!D65</f>
        <v xml:space="preserve"> 17EE403</v>
      </c>
      <c r="L67" s="240" t="str">
        <f>'Student Details'!E65</f>
        <v xml:space="preserve"> HAMSALEKHA V S</v>
      </c>
      <c r="M67" s="241">
        <f t="shared" si="6"/>
        <v>8</v>
      </c>
      <c r="N67" s="292">
        <f t="shared" si="1"/>
        <v>0.47058823529411764</v>
      </c>
      <c r="O67" s="265" t="str">
        <f t="shared" si="7"/>
        <v>N</v>
      </c>
      <c r="P67" s="241">
        <f t="shared" si="8"/>
        <v>4</v>
      </c>
      <c r="Q67" s="272">
        <f t="shared" si="9"/>
        <v>0.5</v>
      </c>
      <c r="R67" s="264" t="str">
        <f t="shared" si="10"/>
        <v>N</v>
      </c>
    </row>
    <row r="68" spans="2:27" s="64" customFormat="1" ht="20.100000000000001" customHeight="1">
      <c r="B68" s="263">
        <v>54</v>
      </c>
      <c r="C68" s="244" t="str">
        <f>'Student Details'!D66</f>
        <v xml:space="preserve"> 17EE404</v>
      </c>
      <c r="D68" s="244" t="str">
        <f>'Student Details'!E66</f>
        <v xml:space="preserve"> HARISH S</v>
      </c>
      <c r="E68"/>
      <c r="F68">
        <v>3</v>
      </c>
      <c r="G68">
        <v>3</v>
      </c>
      <c r="H68">
        <v>4</v>
      </c>
      <c r="I68" s="238"/>
      <c r="J68" s="239">
        <v>54</v>
      </c>
      <c r="K68" s="240" t="str">
        <f>'Student Details'!D66</f>
        <v xml:space="preserve"> 17EE404</v>
      </c>
      <c r="L68" s="240" t="str">
        <f>'Student Details'!E66</f>
        <v xml:space="preserve"> HARISH S</v>
      </c>
      <c r="M68" s="241">
        <f t="shared" si="6"/>
        <v>6</v>
      </c>
      <c r="N68" s="292">
        <f t="shared" si="1"/>
        <v>0.46153846153846156</v>
      </c>
      <c r="O68" s="265" t="str">
        <f t="shared" si="7"/>
        <v>N</v>
      </c>
      <c r="P68" s="241">
        <f t="shared" si="8"/>
        <v>4</v>
      </c>
      <c r="Q68" s="272">
        <f t="shared" si="9"/>
        <v>0.5</v>
      </c>
      <c r="R68" s="264" t="str">
        <f t="shared" si="10"/>
        <v>N</v>
      </c>
    </row>
    <row r="69" spans="2:27" s="64" customFormat="1" ht="20.100000000000001" customHeight="1">
      <c r="B69" s="263">
        <v>55</v>
      </c>
      <c r="C69" s="244" t="str">
        <f>'Student Details'!D67</f>
        <v xml:space="preserve"> 17EE405</v>
      </c>
      <c r="D69" s="244" t="str">
        <f>'Student Details'!E67</f>
        <v xml:space="preserve"> J ASIYA</v>
      </c>
      <c r="E69">
        <v>4</v>
      </c>
      <c r="F69">
        <v>7</v>
      </c>
      <c r="G69">
        <v>3</v>
      </c>
      <c r="H69">
        <v>7</v>
      </c>
      <c r="I69" s="238"/>
      <c r="J69" s="239">
        <v>55</v>
      </c>
      <c r="K69" s="240" t="str">
        <f>'Student Details'!D67</f>
        <v xml:space="preserve"> 17EE405</v>
      </c>
      <c r="L69" s="240" t="str">
        <f>'Student Details'!E67</f>
        <v xml:space="preserve"> J ASIYA</v>
      </c>
      <c r="M69" s="241">
        <f t="shared" si="6"/>
        <v>14</v>
      </c>
      <c r="N69" s="292">
        <f t="shared" si="1"/>
        <v>0.82352941176470584</v>
      </c>
      <c r="O69" s="265" t="str">
        <f t="shared" si="7"/>
        <v>Y</v>
      </c>
      <c r="P69" s="241">
        <f t="shared" si="8"/>
        <v>7</v>
      </c>
      <c r="Q69" s="272">
        <f t="shared" si="9"/>
        <v>0.875</v>
      </c>
      <c r="R69" s="264" t="str">
        <f t="shared" si="10"/>
        <v>Y</v>
      </c>
    </row>
    <row r="70" spans="2:27" s="64" customFormat="1" ht="20.100000000000001" customHeight="1">
      <c r="B70" s="263">
        <v>56</v>
      </c>
      <c r="C70" s="244" t="str">
        <f>'Student Details'!D68</f>
        <v xml:space="preserve"> 17EE406</v>
      </c>
      <c r="D70" s="244" t="str">
        <f>'Student Details'!E68</f>
        <v xml:space="preserve"> MANJUNATHA K</v>
      </c>
      <c r="E70">
        <v>2</v>
      </c>
      <c r="F70">
        <v>5</v>
      </c>
      <c r="G70">
        <v>3</v>
      </c>
      <c r="H70">
        <v>4</v>
      </c>
      <c r="I70" s="238"/>
      <c r="J70" s="239">
        <v>56</v>
      </c>
      <c r="K70" s="240" t="str">
        <f>'Student Details'!D68</f>
        <v xml:space="preserve"> 17EE406</v>
      </c>
      <c r="L70" s="240" t="str">
        <f>'Student Details'!E68</f>
        <v xml:space="preserve"> MANJUNATHA K</v>
      </c>
      <c r="M70" s="241">
        <f t="shared" si="6"/>
        <v>10</v>
      </c>
      <c r="N70" s="292">
        <f t="shared" si="1"/>
        <v>0.58823529411764708</v>
      </c>
      <c r="O70" s="265" t="str">
        <f t="shared" si="7"/>
        <v>N</v>
      </c>
      <c r="P70" s="241">
        <f t="shared" si="8"/>
        <v>4</v>
      </c>
      <c r="Q70" s="272">
        <f t="shared" si="9"/>
        <v>0.5</v>
      </c>
      <c r="R70" s="264" t="str">
        <f t="shared" si="10"/>
        <v>N</v>
      </c>
    </row>
    <row r="71" spans="2:27" s="64" customFormat="1" ht="20.100000000000001" customHeight="1">
      <c r="B71" s="263">
        <v>57</v>
      </c>
      <c r="C71" s="278" t="str">
        <f>'Student Details'!D69</f>
        <v xml:space="preserve"> 17EE408</v>
      </c>
      <c r="D71" s="278" t="str">
        <f>'Student Details'!E69</f>
        <v xml:space="preserve"> RAVINDRA</v>
      </c>
      <c r="E71"/>
      <c r="F71">
        <v>7</v>
      </c>
      <c r="G71">
        <v>3</v>
      </c>
      <c r="H71">
        <v>5</v>
      </c>
      <c r="I71" s="238"/>
      <c r="J71" s="239">
        <v>57</v>
      </c>
      <c r="K71" s="278" t="str">
        <f>'Student Details'!D69</f>
        <v xml:space="preserve"> 17EE408</v>
      </c>
      <c r="L71" s="278" t="str">
        <f>'Student Details'!E69</f>
        <v xml:space="preserve"> RAVINDRA</v>
      </c>
      <c r="M71" s="241">
        <f t="shared" si="6"/>
        <v>10</v>
      </c>
      <c r="N71" s="292">
        <f t="shared" si="1"/>
        <v>0.76923076923076927</v>
      </c>
      <c r="O71" s="266" t="str">
        <f t="shared" si="7"/>
        <v>Y</v>
      </c>
      <c r="P71" s="241">
        <f t="shared" si="8"/>
        <v>5</v>
      </c>
      <c r="Q71" s="273">
        <f t="shared" si="9"/>
        <v>0.625</v>
      </c>
      <c r="R71" s="266" t="str">
        <f t="shared" si="10"/>
        <v>Y</v>
      </c>
    </row>
    <row r="72" spans="2:27" s="64" customFormat="1" ht="20.100000000000001" customHeight="1">
      <c r="B72" s="263">
        <v>58</v>
      </c>
      <c r="C72" s="278" t="str">
        <f>'Student Details'!D70</f>
        <v xml:space="preserve"> 17EE409</v>
      </c>
      <c r="D72" s="278" t="str">
        <f>'Student Details'!E70</f>
        <v xml:space="preserve"> SAMARTHA NAVALE</v>
      </c>
      <c r="E72">
        <v>4</v>
      </c>
      <c r="F72">
        <v>8</v>
      </c>
      <c r="G72">
        <v>3</v>
      </c>
      <c r="H72">
        <v>4</v>
      </c>
      <c r="I72" s="238"/>
      <c r="J72" s="239">
        <v>58</v>
      </c>
      <c r="K72" s="278" t="str">
        <f>'Student Details'!D70</f>
        <v xml:space="preserve"> 17EE409</v>
      </c>
      <c r="L72" s="278" t="str">
        <f>'Student Details'!E70</f>
        <v xml:space="preserve"> SAMARTHA NAVALE</v>
      </c>
      <c r="M72" s="241">
        <f t="shared" si="6"/>
        <v>15</v>
      </c>
      <c r="N72" s="292">
        <f t="shared" si="1"/>
        <v>0.88235294117647056</v>
      </c>
      <c r="O72" s="266" t="str">
        <f t="shared" si="7"/>
        <v>Y</v>
      </c>
      <c r="P72" s="241">
        <f t="shared" si="8"/>
        <v>4</v>
      </c>
      <c r="Q72" s="273">
        <f t="shared" si="9"/>
        <v>0.5</v>
      </c>
      <c r="R72" s="266" t="str">
        <f t="shared" si="10"/>
        <v>N</v>
      </c>
    </row>
    <row r="73" spans="2:27" s="64" customFormat="1" ht="20.100000000000001" customHeight="1">
      <c r="B73" s="263">
        <v>59</v>
      </c>
      <c r="C73" s="278" t="str">
        <f>'Student Details'!D71</f>
        <v xml:space="preserve"> 17EE410</v>
      </c>
      <c r="D73" s="278" t="str">
        <f>'Student Details'!E71</f>
        <v xml:space="preserve"> SNEHA MATHAPATI</v>
      </c>
      <c r="E73">
        <v>2</v>
      </c>
      <c r="F73">
        <v>7</v>
      </c>
      <c r="G73">
        <v>3</v>
      </c>
      <c r="H73">
        <v>7</v>
      </c>
      <c r="I73" s="238"/>
      <c r="J73" s="239">
        <v>59</v>
      </c>
      <c r="K73" s="278" t="str">
        <f>'Student Details'!D71</f>
        <v xml:space="preserve"> 17EE410</v>
      </c>
      <c r="L73" s="278" t="str">
        <f>'Student Details'!E71</f>
        <v xml:space="preserve"> SNEHA MATHAPATI</v>
      </c>
      <c r="M73" s="241">
        <f t="shared" si="6"/>
        <v>12</v>
      </c>
      <c r="N73" s="292">
        <f t="shared" si="1"/>
        <v>0.70588235294117652</v>
      </c>
      <c r="O73" s="266" t="str">
        <f t="shared" si="7"/>
        <v>Y</v>
      </c>
      <c r="P73" s="241">
        <f t="shared" si="8"/>
        <v>7</v>
      </c>
      <c r="Q73" s="273">
        <f t="shared" si="9"/>
        <v>0.875</v>
      </c>
      <c r="R73" s="266" t="str">
        <f t="shared" si="10"/>
        <v>Y</v>
      </c>
    </row>
    <row r="74" spans="2:27" s="64" customFormat="1" ht="20.100000000000001" customHeight="1">
      <c r="B74" s="263">
        <v>60</v>
      </c>
      <c r="C74" s="278" t="str">
        <f>'Student Details'!D72</f>
        <v xml:space="preserve"> 17EE411</v>
      </c>
      <c r="D74" s="278" t="str">
        <f>'Student Details'!E72</f>
        <v xml:space="preserve"> SUHAS T A</v>
      </c>
      <c r="E74">
        <v>0</v>
      </c>
      <c r="F74">
        <v>6</v>
      </c>
      <c r="G74">
        <v>2</v>
      </c>
      <c r="H74">
        <v>4</v>
      </c>
      <c r="I74" s="238"/>
      <c r="J74" s="239">
        <v>60</v>
      </c>
      <c r="K74" s="278" t="str">
        <f>'Student Details'!D72</f>
        <v xml:space="preserve"> 17EE411</v>
      </c>
      <c r="L74" s="278" t="str">
        <f>'Student Details'!E72</f>
        <v xml:space="preserve"> SUHAS T A</v>
      </c>
      <c r="M74" s="241">
        <f t="shared" si="6"/>
        <v>8</v>
      </c>
      <c r="N74" s="292">
        <f t="shared" si="1"/>
        <v>0.61538461538461542</v>
      </c>
      <c r="O74" s="266" t="str">
        <f t="shared" si="7"/>
        <v>Y</v>
      </c>
      <c r="P74" s="241">
        <f t="shared" si="8"/>
        <v>4</v>
      </c>
      <c r="Q74" s="273">
        <f t="shared" si="9"/>
        <v>0.5</v>
      </c>
      <c r="R74" s="266" t="str">
        <f t="shared" si="10"/>
        <v>N</v>
      </c>
    </row>
    <row r="75" spans="2:27" s="64" customFormat="1" ht="20.100000000000001" customHeight="1">
      <c r="B75" s="263">
        <v>61</v>
      </c>
      <c r="C75" s="278" t="str">
        <f>'Student Details'!D73</f>
        <v xml:space="preserve"> 17EE412</v>
      </c>
      <c r="D75" s="278" t="str">
        <f>'Student Details'!E73</f>
        <v xml:space="preserve"> VARSHA</v>
      </c>
      <c r="E75">
        <v>4</v>
      </c>
      <c r="F75">
        <v>10</v>
      </c>
      <c r="G75">
        <v>3</v>
      </c>
      <c r="H75">
        <v>6</v>
      </c>
      <c r="I75" s="238"/>
      <c r="J75" s="239">
        <v>61</v>
      </c>
      <c r="K75" s="278" t="str">
        <f>'Student Details'!D73</f>
        <v xml:space="preserve"> 17EE412</v>
      </c>
      <c r="L75" s="278" t="str">
        <f>'Student Details'!E73</f>
        <v xml:space="preserve"> VARSHA</v>
      </c>
      <c r="M75" s="241">
        <f t="shared" si="6"/>
        <v>17</v>
      </c>
      <c r="N75" s="292">
        <f t="shared" si="1"/>
        <v>1</v>
      </c>
      <c r="O75" s="266" t="str">
        <f t="shared" si="7"/>
        <v>Y</v>
      </c>
      <c r="P75" s="241">
        <f t="shared" si="8"/>
        <v>6</v>
      </c>
      <c r="Q75" s="273">
        <f t="shared" si="9"/>
        <v>0.75</v>
      </c>
      <c r="R75" s="266" t="str">
        <f t="shared" si="10"/>
        <v>Y</v>
      </c>
    </row>
    <row r="76" spans="2:27" s="64" customFormat="1" ht="20.100000000000001" customHeight="1">
      <c r="B76" s="263"/>
      <c r="C76" s="244"/>
      <c r="D76" s="244"/>
      <c r="E76" s="243"/>
      <c r="F76" s="243"/>
      <c r="G76" s="243"/>
      <c r="H76" s="243"/>
      <c r="I76" s="238"/>
      <c r="J76" s="239"/>
      <c r="K76" s="240"/>
      <c r="L76" s="240"/>
      <c r="M76" s="265"/>
      <c r="N76" s="265"/>
      <c r="O76" s="265"/>
      <c r="P76" s="265"/>
      <c r="Q76" s="265"/>
      <c r="R76" s="264"/>
    </row>
    <row r="77" spans="2:27" s="64" customFormat="1" ht="20.100000000000001" customHeight="1">
      <c r="B77" s="432" t="s">
        <v>208</v>
      </c>
      <c r="C77" s="433"/>
      <c r="D77" s="433"/>
      <c r="E77" s="266">
        <f>$B$75-(COUNTIF(E15:E75,""))</f>
        <v>53</v>
      </c>
      <c r="F77" s="266">
        <f>$B$75-(COUNTIF(F15:F75,""))</f>
        <v>61</v>
      </c>
      <c r="G77" s="266">
        <f>$B$75-(COUNTIF(G15:G75,""))</f>
        <v>61</v>
      </c>
      <c r="H77" s="266">
        <f>$B$75-(COUNTIF(H15:H75,""))</f>
        <v>56</v>
      </c>
      <c r="I77" s="238"/>
      <c r="J77" s="434" t="s">
        <v>208</v>
      </c>
      <c r="K77" s="433"/>
      <c r="L77" s="433"/>
      <c r="M77" s="434">
        <f>$B$75-COUNTIF(M15:M75,"NA")</f>
        <v>61</v>
      </c>
      <c r="N77" s="435"/>
      <c r="O77" s="435"/>
      <c r="P77" s="434">
        <f>$B$75-COUNTIF(P15:P75,"NA")</f>
        <v>54</v>
      </c>
      <c r="Q77" s="435"/>
      <c r="R77" s="435"/>
    </row>
    <row r="78" spans="2:27" s="64" customFormat="1" ht="20.100000000000001" customHeight="1">
      <c r="B78" s="432" t="str">
        <f>UPPER("TOTAL MARKS QUESTIONS")</f>
        <v>TOTAL MARKS QUESTIONS</v>
      </c>
      <c r="C78" s="433"/>
      <c r="D78" s="433"/>
      <c r="E78" s="266">
        <f>SUM(E15:E75)</f>
        <v>144</v>
      </c>
      <c r="F78" s="266">
        <f>SUM(F15:F75)</f>
        <v>380</v>
      </c>
      <c r="G78" s="266">
        <f>SUM(G15:G75)</f>
        <v>170</v>
      </c>
      <c r="H78" s="266">
        <f>SUM(H15:H75)</f>
        <v>248</v>
      </c>
      <c r="I78" s="238"/>
      <c r="J78" s="434" t="str">
        <f>UPPER("Number of Students scoring above a target")</f>
        <v>NUMBER OF STUDENTS SCORING ABOVE A TARGET</v>
      </c>
      <c r="K78" s="433"/>
      <c r="L78" s="433"/>
      <c r="M78" s="434">
        <f>COUNTIF(O15:O75,"Y")</f>
        <v>42</v>
      </c>
      <c r="N78" s="435"/>
      <c r="O78" s="435"/>
      <c r="P78" s="434">
        <f>COUNTIF(R15:R75,"Y")</f>
        <v>19</v>
      </c>
      <c r="Q78" s="435"/>
      <c r="R78" s="435"/>
    </row>
    <row r="79" spans="2:27" s="64" customFormat="1" ht="34.5" customHeight="1">
      <c r="B79" s="432" t="s">
        <v>209</v>
      </c>
      <c r="C79" s="433"/>
      <c r="D79" s="433"/>
      <c r="E79" s="279">
        <f>E77*E14</f>
        <v>212</v>
      </c>
      <c r="F79" s="265">
        <f>F77*F14</f>
        <v>610</v>
      </c>
      <c r="G79" s="265">
        <f>G77*G14</f>
        <v>183</v>
      </c>
      <c r="H79" s="265">
        <f>H77*H14</f>
        <v>448</v>
      </c>
      <c r="I79" s="97"/>
      <c r="J79" s="434" t="str">
        <f>UPPER("Percentage of Students scoring above a target")</f>
        <v>PERCENTAGE OF STUDENTS SCORING ABOVE A TARGET</v>
      </c>
      <c r="K79" s="433"/>
      <c r="L79" s="433"/>
      <c r="M79" s="430">
        <f>M78/M77</f>
        <v>0.68852459016393441</v>
      </c>
      <c r="N79" s="431"/>
      <c r="O79" s="431"/>
      <c r="P79" s="430">
        <f>P78/P77</f>
        <v>0.35185185185185186</v>
      </c>
      <c r="Q79" s="431"/>
      <c r="R79" s="431"/>
      <c r="S79" s="276"/>
      <c r="T79" s="277"/>
      <c r="U79" s="277"/>
      <c r="V79" s="276"/>
      <c r="W79" s="277"/>
      <c r="X79" s="277"/>
      <c r="Y79" s="276"/>
      <c r="Z79" s="277"/>
      <c r="AA79" s="277"/>
    </row>
    <row r="80" spans="2:27" s="64" customFormat="1" ht="20.100000000000001" customHeight="1">
      <c r="B80" s="432" t="s">
        <v>210</v>
      </c>
      <c r="C80" s="433"/>
      <c r="D80" s="433"/>
      <c r="E80" s="279" t="s">
        <v>369</v>
      </c>
      <c r="F80" s="265" t="s">
        <v>369</v>
      </c>
      <c r="G80" s="265" t="s">
        <v>369</v>
      </c>
      <c r="H80" s="265" t="s">
        <v>370</v>
      </c>
      <c r="I80" s="97"/>
      <c r="J80" s="434" t="str">
        <f>UPPER("Overall Target")</f>
        <v>OVERALL TARGET</v>
      </c>
      <c r="K80" s="433"/>
      <c r="L80" s="433"/>
      <c r="M80" s="430">
        <f>'Student Details'!V13</f>
        <v>0.7</v>
      </c>
      <c r="N80" s="431"/>
      <c r="O80" s="431"/>
      <c r="P80" s="430">
        <f>'Student Details'!V14</f>
        <v>0.7</v>
      </c>
      <c r="Q80" s="431"/>
      <c r="R80" s="431"/>
      <c r="S80" s="276"/>
      <c r="T80" s="277"/>
      <c r="U80" s="277"/>
      <c r="V80" s="276"/>
      <c r="W80" s="277"/>
      <c r="X80" s="277"/>
      <c r="Y80" s="276"/>
      <c r="Z80" s="277"/>
      <c r="AA80" s="277"/>
    </row>
    <row r="81" spans="2:27" s="64" customFormat="1" ht="20.100000000000001" customHeight="1">
      <c r="B81" s="449" t="s">
        <v>211</v>
      </c>
      <c r="C81" s="433"/>
      <c r="D81" s="433"/>
      <c r="E81" s="279">
        <f>IFERROR((E78/E79)*100,0)</f>
        <v>67.924528301886795</v>
      </c>
      <c r="F81" s="265">
        <f>IFERROR((F78/F79)*100,0)</f>
        <v>62.295081967213115</v>
      </c>
      <c r="G81" s="265">
        <f>IFERROR((G78/G79)*100,0)</f>
        <v>92.896174863387984</v>
      </c>
      <c r="H81" s="265">
        <f>IFERROR((H78/H79)*100,0)</f>
        <v>55.357142857142861</v>
      </c>
      <c r="I81" s="97"/>
      <c r="J81" s="434" t="str">
        <f>UPPER("Achievement (Y/N)")</f>
        <v>ACHIEVEMENT (Y/N)</v>
      </c>
      <c r="K81" s="433"/>
      <c r="L81" s="433"/>
      <c r="M81" s="434" t="str">
        <f>IF(M79&gt;=M80,"Y","N")</f>
        <v>N</v>
      </c>
      <c r="N81" s="435"/>
      <c r="O81" s="435"/>
      <c r="P81" s="434" t="str">
        <f>IF(P79&gt;=P80,"Y","N")</f>
        <v>N</v>
      </c>
      <c r="Q81" s="435"/>
      <c r="R81" s="435"/>
      <c r="S81" s="276"/>
      <c r="T81" s="277"/>
      <c r="U81" s="277"/>
      <c r="V81" s="276"/>
      <c r="W81" s="277"/>
      <c r="X81" s="277"/>
      <c r="Y81" s="276"/>
      <c r="Z81" s="277"/>
      <c r="AA81" s="277"/>
    </row>
    <row r="82" spans="2:27" s="64" customFormat="1" ht="20.100000000000001" customHeight="1">
      <c r="B82" s="61"/>
      <c r="C82" s="277"/>
      <c r="D82" s="277"/>
      <c r="E82" s="286"/>
      <c r="F82" s="97"/>
      <c r="G82" s="97"/>
      <c r="H82" s="97"/>
      <c r="I82" s="97"/>
      <c r="J82" s="93"/>
      <c r="K82" s="277"/>
      <c r="L82" s="277"/>
      <c r="M82" s="97"/>
      <c r="N82" s="277"/>
      <c r="O82" s="277"/>
      <c r="P82" s="97"/>
      <c r="Q82" s="277"/>
      <c r="R82" s="277"/>
      <c r="S82" s="276"/>
      <c r="T82" s="277"/>
      <c r="U82" s="277"/>
      <c r="V82" s="276"/>
      <c r="W82" s="277"/>
      <c r="X82" s="277"/>
      <c r="Y82" s="276"/>
      <c r="Z82" s="277"/>
      <c r="AA82" s="277"/>
    </row>
    <row r="83" spans="2:27" s="64" customFormat="1" ht="20.100000000000001" customHeight="1">
      <c r="B83" s="61"/>
      <c r="C83" s="246" t="s">
        <v>212</v>
      </c>
      <c r="D83" s="248" t="s">
        <v>213</v>
      </c>
      <c r="E83" s="247" t="s">
        <v>214</v>
      </c>
      <c r="F83" s="97"/>
      <c r="G83" s="97"/>
      <c r="H83" s="97"/>
      <c r="I83" s="97"/>
      <c r="J83" s="93"/>
      <c r="K83" s="277"/>
      <c r="L83" s="277"/>
      <c r="M83" s="97"/>
      <c r="N83" s="277"/>
      <c r="O83" s="277"/>
      <c r="P83" s="97"/>
      <c r="Q83" s="277"/>
      <c r="R83" s="277"/>
      <c r="S83" s="276"/>
      <c r="T83" s="277"/>
      <c r="U83" s="277"/>
      <c r="V83" s="276"/>
      <c r="W83" s="277"/>
      <c r="X83" s="277"/>
      <c r="Y83" s="276"/>
      <c r="Z83" s="277"/>
      <c r="AA83" s="277"/>
    </row>
    <row r="84" spans="2:27" s="64" customFormat="1" ht="20.100000000000001" customHeight="1">
      <c r="B84" s="61"/>
      <c r="C84" s="246" t="s">
        <v>369</v>
      </c>
      <c r="D84" s="248">
        <f>M79*100</f>
        <v>68.852459016393439</v>
      </c>
      <c r="E84" s="247">
        <f>M80*100</f>
        <v>70</v>
      </c>
      <c r="F84" s="97"/>
      <c r="G84" s="97"/>
      <c r="H84" s="97"/>
      <c r="I84" s="97"/>
      <c r="J84" s="93"/>
      <c r="K84" s="277"/>
      <c r="L84" s="277"/>
      <c r="M84" s="97"/>
      <c r="N84" s="277"/>
      <c r="O84" s="277"/>
      <c r="P84" s="97"/>
      <c r="Q84" s="277"/>
      <c r="R84" s="277"/>
      <c r="S84" s="61"/>
      <c r="T84" s="276"/>
      <c r="U84" s="276"/>
      <c r="V84" s="276"/>
      <c r="W84" s="276"/>
    </row>
    <row r="85" spans="2:27" s="64" customFormat="1" ht="20.100000000000001" customHeight="1">
      <c r="B85" s="61"/>
      <c r="C85" s="246" t="s">
        <v>370</v>
      </c>
      <c r="D85" s="248">
        <f>P79*100</f>
        <v>35.185185185185183</v>
      </c>
      <c r="E85" s="247">
        <f>P80*100</f>
        <v>70</v>
      </c>
      <c r="F85" s="97"/>
      <c r="G85" s="93"/>
      <c r="H85" s="93"/>
      <c r="I85" s="97"/>
      <c r="J85" s="93"/>
      <c r="K85" s="97"/>
      <c r="L85" s="97"/>
      <c r="M85" s="97"/>
      <c r="N85" s="98"/>
      <c r="O85" s="97"/>
      <c r="P85" s="277"/>
      <c r="Q85" s="277"/>
      <c r="R85" s="276"/>
      <c r="S85" s="60"/>
      <c r="T85" s="277"/>
      <c r="U85" s="276"/>
      <c r="V85" s="277"/>
      <c r="W85" s="277"/>
    </row>
    <row r="86" spans="2:27" s="64" customFormat="1" ht="20.100000000000001" customHeight="1">
      <c r="B86" s="61"/>
      <c r="C86" s="246" t="s">
        <v>371</v>
      </c>
      <c r="D86" s="248"/>
      <c r="E86" s="247"/>
      <c r="F86" s="97"/>
      <c r="G86" s="93"/>
      <c r="H86" s="93"/>
      <c r="I86" s="97"/>
      <c r="J86" s="93"/>
      <c r="K86" s="97"/>
      <c r="L86" s="97"/>
      <c r="M86" s="97"/>
      <c r="N86" s="98"/>
      <c r="O86" s="97"/>
      <c r="P86" s="277"/>
      <c r="Q86" s="277"/>
      <c r="R86" s="276"/>
      <c r="S86" s="60"/>
      <c r="T86" s="277"/>
      <c r="U86" s="276"/>
      <c r="V86" s="277"/>
      <c r="W86" s="277"/>
    </row>
    <row r="87" spans="2:27" s="64" customFormat="1" ht="20.100000000000001" customHeight="1">
      <c r="B87" s="61"/>
      <c r="C87" s="246" t="s">
        <v>372</v>
      </c>
      <c r="D87" s="248"/>
      <c r="E87" s="247"/>
      <c r="F87" s="97"/>
      <c r="G87" s="93"/>
      <c r="H87" s="93"/>
      <c r="I87" s="97"/>
      <c r="J87" s="93"/>
      <c r="K87" s="97"/>
      <c r="L87" s="97"/>
      <c r="M87" s="97"/>
      <c r="N87" s="98"/>
      <c r="O87" s="97"/>
      <c r="P87" s="277"/>
      <c r="Q87" s="277"/>
      <c r="R87" s="276"/>
      <c r="S87" s="60"/>
      <c r="T87" s="277"/>
      <c r="U87" s="276"/>
      <c r="V87" s="277"/>
      <c r="W87" s="277"/>
    </row>
    <row r="88" spans="2:27" s="64" customFormat="1" ht="20.100000000000001" customHeight="1">
      <c r="B88" s="61"/>
      <c r="C88" s="246" t="s">
        <v>373</v>
      </c>
      <c r="D88" s="248"/>
      <c r="E88" s="247"/>
      <c r="F88" s="97"/>
      <c r="G88" s="93"/>
      <c r="H88" s="93"/>
      <c r="I88" s="97"/>
      <c r="J88" s="93"/>
      <c r="K88" s="97"/>
      <c r="L88" s="97"/>
      <c r="M88" s="97"/>
      <c r="N88" s="98"/>
      <c r="O88" s="97"/>
      <c r="P88" s="277"/>
      <c r="Q88" s="277"/>
      <c r="R88" s="276"/>
      <c r="S88" s="60"/>
      <c r="T88" s="277"/>
      <c r="U88" s="276"/>
      <c r="V88" s="277"/>
      <c r="W88" s="277"/>
    </row>
    <row r="89" spans="2:27" s="64" customFormat="1" ht="20.100000000000001" customHeight="1">
      <c r="B89" s="61"/>
      <c r="C89" s="70"/>
      <c r="D89" s="70"/>
      <c r="E89" s="106"/>
      <c r="F89" s="97"/>
      <c r="G89" s="93"/>
      <c r="H89" s="93"/>
      <c r="I89" s="97"/>
      <c r="J89" s="93"/>
      <c r="K89" s="97"/>
      <c r="L89" s="97"/>
      <c r="M89" s="97"/>
      <c r="N89" s="98"/>
      <c r="O89" s="97"/>
      <c r="P89" s="277"/>
      <c r="Q89" s="277"/>
      <c r="R89" s="276"/>
      <c r="S89" s="60"/>
      <c r="T89" s="277"/>
      <c r="U89" s="276"/>
      <c r="V89" s="277"/>
      <c r="W89" s="277"/>
    </row>
    <row r="90" spans="2:27" s="64" customFormat="1" ht="20.100000000000001" customHeight="1">
      <c r="B90" s="61"/>
      <c r="C90" s="70"/>
      <c r="D90" s="70"/>
      <c r="E90" s="106"/>
      <c r="F90" s="97"/>
      <c r="G90" s="93"/>
      <c r="H90" s="93"/>
      <c r="I90" s="97"/>
      <c r="J90" s="93"/>
      <c r="K90" s="97"/>
      <c r="L90" s="97"/>
      <c r="M90" s="93"/>
      <c r="N90" s="98"/>
      <c r="O90" s="93"/>
      <c r="P90" s="97"/>
      <c r="Q90" s="97"/>
      <c r="R90" s="276"/>
      <c r="S90" s="61"/>
      <c r="T90" s="65"/>
      <c r="U90" s="65"/>
      <c r="V90" s="276"/>
      <c r="W90" s="276"/>
      <c r="X90" s="276"/>
      <c r="Y90" s="276"/>
      <c r="Z90" s="276"/>
      <c r="AA90" s="276"/>
    </row>
    <row r="91" spans="2:27" s="64" customFormat="1" ht="20.100000000000001" customHeight="1">
      <c r="B91" s="61"/>
      <c r="C91" s="70"/>
      <c r="D91" s="70"/>
      <c r="E91" s="106"/>
      <c r="F91" s="97"/>
      <c r="G91" s="93"/>
      <c r="H91" s="93"/>
      <c r="I91" s="97"/>
      <c r="J91" s="93"/>
      <c r="K91" s="97"/>
      <c r="L91" s="97"/>
      <c r="M91" s="97"/>
      <c r="N91" s="277"/>
      <c r="O91" s="60"/>
      <c r="P91" s="97"/>
      <c r="Q91" s="277"/>
      <c r="R91" s="277"/>
      <c r="S91" s="60"/>
      <c r="T91" s="277"/>
      <c r="U91" s="277"/>
      <c r="V91" s="277"/>
      <c r="W91" s="277"/>
      <c r="X91" s="277"/>
      <c r="Y91" s="277"/>
      <c r="Z91" s="277"/>
      <c r="AA91" s="277"/>
    </row>
    <row r="92" spans="2:27" s="64" customFormat="1" ht="20.100000000000001" customHeight="1">
      <c r="B92" s="61"/>
      <c r="C92" s="70"/>
      <c r="D92" s="70"/>
      <c r="E92" s="106"/>
      <c r="F92" s="97"/>
      <c r="G92" s="93"/>
      <c r="H92" s="93"/>
      <c r="I92" s="97"/>
      <c r="J92" s="93"/>
      <c r="K92" s="97"/>
      <c r="L92" s="97"/>
      <c r="M92" s="97"/>
      <c r="N92" s="277"/>
      <c r="O92" s="60"/>
      <c r="P92" s="97"/>
      <c r="Q92" s="277"/>
      <c r="R92" s="277"/>
      <c r="S92" s="60"/>
      <c r="T92" s="277"/>
      <c r="U92" s="277"/>
      <c r="V92" s="277"/>
      <c r="W92" s="277"/>
      <c r="X92" s="277"/>
      <c r="Y92" s="277"/>
      <c r="Z92" s="277"/>
      <c r="AA92" s="277"/>
    </row>
    <row r="93" spans="2:27" s="64" customFormat="1" ht="20.100000000000001" customHeight="1">
      <c r="B93" s="61"/>
      <c r="C93" s="70"/>
      <c r="D93" s="70"/>
      <c r="E93" s="107"/>
      <c r="F93" s="66"/>
      <c r="G93" s="123"/>
      <c r="H93" s="123"/>
      <c r="I93" s="66"/>
      <c r="J93" s="123"/>
      <c r="K93" s="66"/>
      <c r="L93" s="66"/>
      <c r="M93" s="66"/>
      <c r="N93" s="277"/>
      <c r="O93" s="60"/>
      <c r="P93" s="67"/>
      <c r="Q93" s="277"/>
      <c r="R93" s="277"/>
      <c r="S93" s="60"/>
      <c r="T93" s="277"/>
      <c r="U93" s="277"/>
      <c r="V93" s="277"/>
      <c r="W93" s="277"/>
      <c r="X93" s="277"/>
      <c r="Y93" s="277"/>
      <c r="Z93" s="277"/>
      <c r="AA93" s="277"/>
    </row>
    <row r="94" spans="2:27" s="64" customFormat="1" ht="20.100000000000001" customHeight="1">
      <c r="B94" s="61"/>
      <c r="C94" s="70"/>
      <c r="D94" s="70"/>
      <c r="E94" s="107"/>
      <c r="F94" s="66"/>
      <c r="G94" s="123"/>
      <c r="H94" s="123"/>
      <c r="I94" s="66"/>
      <c r="J94" s="123"/>
      <c r="K94" s="66"/>
      <c r="L94" s="66"/>
      <c r="M94" s="66"/>
      <c r="N94" s="277"/>
      <c r="O94" s="60"/>
      <c r="P94" s="67"/>
      <c r="Q94" s="277"/>
      <c r="R94" s="277"/>
      <c r="S94" s="60"/>
      <c r="T94" s="277"/>
      <c r="U94" s="277"/>
      <c r="V94" s="277"/>
      <c r="W94" s="277"/>
      <c r="X94" s="277"/>
      <c r="Y94" s="277"/>
      <c r="Z94" s="277"/>
      <c r="AA94" s="277"/>
    </row>
    <row r="95" spans="2:27" s="64" customFormat="1" ht="20.100000000000001" customHeight="1">
      <c r="B95" s="61"/>
      <c r="C95" s="70"/>
      <c r="D95" s="70"/>
      <c r="E95" s="68"/>
      <c r="F95" s="276"/>
      <c r="G95" s="61"/>
      <c r="H95" s="61"/>
      <c r="I95" s="276"/>
      <c r="J95" s="61"/>
      <c r="K95" s="276"/>
      <c r="L95" s="276"/>
      <c r="M95" s="276"/>
      <c r="N95" s="277"/>
      <c r="O95" s="60"/>
      <c r="P95" s="276"/>
      <c r="Q95" s="277"/>
      <c r="R95" s="277"/>
      <c r="S95" s="60"/>
      <c r="T95" s="277"/>
      <c r="U95" s="277"/>
      <c r="V95" s="277"/>
      <c r="W95" s="277"/>
      <c r="X95" s="277"/>
      <c r="Y95" s="277"/>
      <c r="Z95" s="277"/>
      <c r="AA95" s="277"/>
    </row>
    <row r="96" spans="2:27" s="64" customFormat="1" ht="20.100000000000001" customHeight="1">
      <c r="B96" s="61"/>
      <c r="C96" s="277"/>
      <c r="D96" s="277"/>
      <c r="E96" s="67"/>
      <c r="F96" s="67"/>
      <c r="G96" s="96"/>
      <c r="H96" s="96"/>
      <c r="I96" s="67"/>
      <c r="J96" s="96"/>
      <c r="K96" s="67"/>
      <c r="L96" s="67"/>
      <c r="M96" s="96"/>
      <c r="N96" s="276"/>
      <c r="O96" s="61"/>
      <c r="P96" s="61"/>
      <c r="Q96" s="276"/>
      <c r="R96" s="61"/>
      <c r="S96" s="61"/>
    </row>
    <row r="97" spans="2:24" s="64" customFormat="1" ht="20.100000000000001" customHeight="1">
      <c r="B97" s="61"/>
      <c r="C97" s="68"/>
      <c r="D97" s="68"/>
      <c r="E97" s="69"/>
      <c r="F97" s="67"/>
      <c r="G97" s="96"/>
      <c r="H97" s="96"/>
      <c r="I97" s="67"/>
      <c r="J97" s="96"/>
      <c r="K97" s="67"/>
      <c r="L97" s="67"/>
      <c r="M97" s="96"/>
      <c r="N97" s="276"/>
      <c r="O97" s="61"/>
      <c r="P97" s="61"/>
      <c r="Q97" s="276"/>
      <c r="R97" s="61"/>
      <c r="S97" s="61"/>
      <c r="V97" s="70"/>
      <c r="X97" s="70"/>
    </row>
    <row r="98" spans="2:24" s="62" customFormat="1" ht="20.100000000000001" customHeight="1">
      <c r="B98" s="61"/>
      <c r="C98" s="68"/>
      <c r="D98" s="68"/>
      <c r="E98" s="69"/>
      <c r="F98" s="67"/>
      <c r="G98" s="96"/>
      <c r="H98" s="96"/>
      <c r="I98" s="67"/>
      <c r="J98" s="96"/>
      <c r="K98" s="67"/>
      <c r="L98" s="67"/>
      <c r="M98" s="96"/>
      <c r="N98" s="276"/>
      <c r="O98" s="61"/>
      <c r="P98" s="61"/>
      <c r="Q98" s="276"/>
      <c r="R98" s="61"/>
      <c r="S98" s="61"/>
      <c r="V98" s="70"/>
      <c r="X98" s="70"/>
    </row>
    <row r="99" spans="2:24" s="62" customFormat="1" ht="20.100000000000001" customHeight="1">
      <c r="B99" s="61"/>
      <c r="C99" s="68"/>
      <c r="D99" s="68"/>
      <c r="E99" s="69"/>
      <c r="F99" s="67"/>
      <c r="G99" s="96"/>
      <c r="H99" s="96"/>
      <c r="I99" s="67"/>
      <c r="J99" s="96"/>
      <c r="K99" s="67"/>
      <c r="L99" s="67"/>
      <c r="M99" s="96"/>
      <c r="N99" s="276"/>
      <c r="O99" s="61"/>
      <c r="P99" s="61"/>
      <c r="Q99" s="276"/>
      <c r="R99" s="61"/>
      <c r="S99" s="61"/>
      <c r="V99" s="70"/>
      <c r="X99" s="70"/>
    </row>
    <row r="100" spans="2:24" s="62" customFormat="1" ht="20.100000000000001" customHeight="1">
      <c r="B100" s="61"/>
      <c r="C100" s="68"/>
      <c r="D100" s="68"/>
      <c r="E100" s="69"/>
      <c r="F100" s="67"/>
      <c r="G100" s="96"/>
      <c r="H100" s="96"/>
      <c r="I100" s="67"/>
      <c r="J100" s="96"/>
      <c r="K100" s="67"/>
      <c r="L100" s="67"/>
      <c r="M100" s="96"/>
      <c r="N100" s="276"/>
      <c r="O100" s="61"/>
      <c r="P100" s="61"/>
      <c r="Q100" s="276"/>
      <c r="R100" s="61"/>
      <c r="S100" s="61"/>
      <c r="V100" s="70"/>
      <c r="X100" s="70"/>
    </row>
    <row r="101" spans="2:24" s="62" customFormat="1" ht="20.100000000000001" customHeight="1">
      <c r="B101" s="61"/>
      <c r="C101" s="68"/>
      <c r="D101" s="68"/>
      <c r="E101" s="68"/>
      <c r="F101" s="71"/>
      <c r="G101" s="61"/>
      <c r="H101" s="61"/>
      <c r="I101" s="71"/>
      <c r="J101" s="61"/>
      <c r="K101" s="71"/>
      <c r="L101" s="71"/>
      <c r="M101" s="61"/>
      <c r="N101" s="71"/>
      <c r="O101" s="61"/>
      <c r="P101" s="61"/>
      <c r="R101" s="61"/>
      <c r="S101" s="61"/>
      <c r="V101" s="68"/>
      <c r="X101" s="68"/>
    </row>
    <row r="102" spans="2:24" s="62" customFormat="1" ht="20.100000000000001" customHeight="1">
      <c r="B102" s="61"/>
      <c r="C102" s="68"/>
      <c r="D102" s="68"/>
      <c r="E102" s="68"/>
      <c r="F102" s="71"/>
      <c r="G102" s="61"/>
      <c r="H102" s="61"/>
      <c r="I102" s="71"/>
      <c r="J102" s="61"/>
      <c r="M102" s="61"/>
      <c r="N102" s="71"/>
      <c r="O102" s="61"/>
      <c r="P102" s="61"/>
      <c r="R102" s="61"/>
      <c r="S102" s="61"/>
    </row>
    <row r="103" spans="2:24" s="62" customFormat="1" ht="20.100000000000001" customHeight="1">
      <c r="B103" s="61"/>
      <c r="C103" s="68"/>
      <c r="D103" s="69"/>
      <c r="E103" s="71"/>
      <c r="F103" s="71"/>
      <c r="G103" s="61"/>
      <c r="H103" s="61"/>
      <c r="I103" s="71"/>
      <c r="J103" s="61"/>
      <c r="M103" s="61"/>
      <c r="N103" s="71"/>
      <c r="O103" s="61"/>
      <c r="P103" s="61"/>
      <c r="R103" s="61"/>
      <c r="S103" s="61"/>
    </row>
    <row r="104" spans="2:24" s="62" customFormat="1" ht="20.100000000000001" customHeight="1">
      <c r="B104" s="61"/>
      <c r="C104" s="68"/>
      <c r="D104" s="69"/>
      <c r="G104" s="61"/>
      <c r="H104" s="61"/>
      <c r="J104" s="61"/>
      <c r="M104" s="61"/>
      <c r="O104" s="61"/>
      <c r="P104" s="61"/>
      <c r="R104" s="61"/>
      <c r="S104" s="61"/>
    </row>
    <row r="105" spans="2:24" s="62" customFormat="1" ht="20.100000000000001" customHeight="1">
      <c r="B105" s="61"/>
      <c r="C105" s="68"/>
      <c r="D105" s="69"/>
      <c r="G105" s="61"/>
      <c r="H105" s="61"/>
      <c r="J105" s="61"/>
      <c r="M105" s="61"/>
      <c r="O105" s="61"/>
      <c r="P105" s="61"/>
      <c r="R105" s="61"/>
      <c r="S105" s="61"/>
    </row>
    <row r="106" spans="2:24" ht="20.100000000000001" customHeight="1">
      <c r="C106" s="73"/>
      <c r="D106" s="74"/>
    </row>
    <row r="107" spans="2:24" ht="20.100000000000001" customHeight="1">
      <c r="C107" s="73"/>
      <c r="D107" s="73"/>
    </row>
  </sheetData>
  <mergeCells count="45">
    <mergeCell ref="M80:O80"/>
    <mergeCell ref="P80:R80"/>
    <mergeCell ref="B80:D80"/>
    <mergeCell ref="J80:L80"/>
    <mergeCell ref="M81:O81"/>
    <mergeCell ref="P81:R81"/>
    <mergeCell ref="B81:D81"/>
    <mergeCell ref="J81:L81"/>
    <mergeCell ref="J11:J14"/>
    <mergeCell ref="K11:K14"/>
    <mergeCell ref="I1:S1"/>
    <mergeCell ref="I2:S2"/>
    <mergeCell ref="I10:S10"/>
    <mergeCell ref="J7:L7"/>
    <mergeCell ref="J8:L8"/>
    <mergeCell ref="J9:L9"/>
    <mergeCell ref="N8:P8"/>
    <mergeCell ref="N9:P9"/>
    <mergeCell ref="L11:L14"/>
    <mergeCell ref="M12:O12"/>
    <mergeCell ref="M13:M14"/>
    <mergeCell ref="P12:R12"/>
    <mergeCell ref="P13:P14"/>
    <mergeCell ref="M11:R11"/>
    <mergeCell ref="B11:B14"/>
    <mergeCell ref="C11:C14"/>
    <mergeCell ref="D11:D14"/>
    <mergeCell ref="A1:H1"/>
    <mergeCell ref="A2:H2"/>
    <mergeCell ref="A10:H10"/>
    <mergeCell ref="B7:D7"/>
    <mergeCell ref="B8:H8"/>
    <mergeCell ref="B9:H9"/>
    <mergeCell ref="M79:O79"/>
    <mergeCell ref="P79:R79"/>
    <mergeCell ref="B79:D79"/>
    <mergeCell ref="J79:L79"/>
    <mergeCell ref="M77:O77"/>
    <mergeCell ref="P77:R77"/>
    <mergeCell ref="B77:D77"/>
    <mergeCell ref="J77:L77"/>
    <mergeCell ref="M78:O78"/>
    <mergeCell ref="P78:R78"/>
    <mergeCell ref="B78:D78"/>
    <mergeCell ref="J78:L78"/>
  </mergeCells>
  <pageMargins left="0" right="0.2" top="0.5" bottom="0.5" header="0.3" footer="0.3"/>
  <pageSetup paperSize="9" scale="85" orientation="landscape" r:id="rId1"/>
  <rowBreaks count="1" manualBreakCount="1">
    <brk id="95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E106"/>
  <sheetViews>
    <sheetView topLeftCell="K1" zoomScale="85" zoomScaleNormal="85" workbookViewId="0">
      <pane ySplit="14" topLeftCell="A75" activePane="bottomLeft" state="frozen"/>
      <selection pane="bottomLeft" activeCell="L15" sqref="L15"/>
    </sheetView>
  </sheetViews>
  <sheetFormatPr defaultColWidth="18.28515625" defaultRowHeight="15"/>
  <cols>
    <col min="1" max="1" width="7.5703125" style="79" customWidth="1"/>
    <col min="2" max="2" width="7.7109375" style="61" customWidth="1"/>
    <col min="3" max="3" width="13.7109375" style="79" customWidth="1"/>
    <col min="4" max="4" width="35.7109375" style="79" customWidth="1"/>
    <col min="5" max="6" width="8.28515625" style="79" customWidth="1"/>
    <col min="7" max="7" width="8.28515625" style="61" customWidth="1"/>
    <col min="8" max="10" width="8.28515625" style="79" customWidth="1"/>
    <col min="11" max="11" width="8.28515625" style="61" customWidth="1"/>
    <col min="12" max="12" width="7.7109375" style="79" customWidth="1"/>
    <col min="13" max="13" width="7.7109375" style="61" customWidth="1"/>
    <col min="14" max="14" width="13.7109375" style="61" customWidth="1"/>
    <col min="15" max="15" width="35.7109375" style="79" customWidth="1"/>
    <col min="16" max="16" width="10.7109375" style="61" customWidth="1"/>
    <col min="17" max="18" width="10.7109375" style="79" customWidth="1"/>
    <col min="19" max="19" width="10.7109375" style="61" customWidth="1"/>
    <col min="20" max="25" width="10.7109375" style="79" customWidth="1"/>
    <col min="26" max="26" width="20.7109375" style="79" customWidth="1"/>
    <col min="27" max="27" width="18.28515625" style="79"/>
    <col min="28" max="16384" width="18.28515625" style="80"/>
  </cols>
  <sheetData>
    <row r="1" spans="1:31" s="76" customFormat="1" ht="20.100000000000001" customHeight="1">
      <c r="A1" s="438" t="s">
        <v>191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45" t="s">
        <v>191</v>
      </c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267"/>
      <c r="AA1" s="267"/>
      <c r="AB1" s="267"/>
      <c r="AC1" s="267"/>
      <c r="AD1" s="267"/>
      <c r="AE1" s="267"/>
    </row>
    <row r="2" spans="1:31" s="76" customFormat="1" ht="20.100000000000001" customHeight="1">
      <c r="A2" s="438" t="s">
        <v>192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45" t="s">
        <v>192</v>
      </c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267"/>
      <c r="AA2" s="267"/>
      <c r="AB2" s="267"/>
      <c r="AC2" s="267"/>
      <c r="AD2" s="267"/>
      <c r="AE2" s="267"/>
    </row>
    <row r="3" spans="1:31" s="76" customFormat="1" ht="20.100000000000001" customHeight="1">
      <c r="B3" s="61"/>
      <c r="G3" s="61"/>
      <c r="K3" s="61"/>
      <c r="M3" s="61"/>
      <c r="N3" s="61"/>
      <c r="P3" s="61"/>
      <c r="S3" s="61"/>
    </row>
    <row r="4" spans="1:31" s="76" customFormat="1" ht="20.100000000000001" customHeight="1">
      <c r="B4" s="61"/>
      <c r="G4" s="61"/>
      <c r="K4" s="61"/>
      <c r="M4" s="61"/>
      <c r="N4" s="61"/>
      <c r="P4" s="61"/>
      <c r="S4" s="61"/>
    </row>
    <row r="5" spans="1:31" s="76" customFormat="1" ht="20.100000000000001" customHeight="1">
      <c r="B5" s="61"/>
      <c r="G5" s="61"/>
      <c r="K5" s="61"/>
      <c r="M5" s="61"/>
      <c r="N5" s="61"/>
      <c r="P5" s="61"/>
      <c r="S5" s="61"/>
    </row>
    <row r="6" spans="1:31" s="76" customFormat="1" ht="20.100000000000001" customHeight="1">
      <c r="B6" s="61"/>
      <c r="G6" s="61"/>
      <c r="K6" s="61"/>
      <c r="M6" s="61"/>
      <c r="N6" s="61"/>
      <c r="P6" s="61"/>
      <c r="S6" s="61"/>
    </row>
    <row r="7" spans="1:31" s="76" customFormat="1" ht="20.100000000000001" customHeight="1">
      <c r="B7" s="442" t="s">
        <v>374</v>
      </c>
      <c r="C7" s="443"/>
      <c r="D7" s="443"/>
      <c r="E7" s="261"/>
      <c r="G7" s="262"/>
      <c r="H7" s="261"/>
      <c r="I7" s="261"/>
      <c r="J7" s="269"/>
      <c r="K7" s="261"/>
      <c r="L7" s="261"/>
      <c r="M7" s="444" t="s">
        <v>374</v>
      </c>
      <c r="N7" s="443"/>
      <c r="O7" s="443"/>
      <c r="P7" s="261"/>
      <c r="Q7" s="261"/>
      <c r="R7" s="261"/>
      <c r="S7" s="261"/>
      <c r="T7" s="261"/>
      <c r="U7" s="261"/>
    </row>
    <row r="8" spans="1:31" s="76" customFormat="1" ht="20.100000000000001" customHeight="1">
      <c r="B8" s="442" t="s">
        <v>194</v>
      </c>
      <c r="C8" s="443"/>
      <c r="D8" s="443"/>
      <c r="E8" s="443"/>
      <c r="F8" s="443"/>
      <c r="G8" s="261"/>
      <c r="H8" s="444" t="s">
        <v>206</v>
      </c>
      <c r="I8" s="443"/>
      <c r="J8" s="443"/>
      <c r="K8" s="443"/>
      <c r="L8" s="269"/>
      <c r="M8" s="447" t="s">
        <v>194</v>
      </c>
      <c r="N8" s="448"/>
      <c r="O8" s="448"/>
      <c r="P8" s="261"/>
      <c r="Q8" s="444" t="s">
        <v>206</v>
      </c>
      <c r="R8" s="443"/>
      <c r="S8" s="443"/>
      <c r="T8" s="261"/>
      <c r="U8" s="261"/>
      <c r="V8" s="261"/>
      <c r="W8" s="262"/>
      <c r="X8" s="261"/>
      <c r="Y8" s="261"/>
    </row>
    <row r="9" spans="1:31" s="76" customFormat="1" ht="20.100000000000001" customHeight="1">
      <c r="B9" s="442" t="s">
        <v>195</v>
      </c>
      <c r="C9" s="443"/>
      <c r="D9" s="443"/>
      <c r="E9" s="443"/>
      <c r="F9" s="443"/>
      <c r="G9" s="261"/>
      <c r="H9" s="444" t="s">
        <v>207</v>
      </c>
      <c r="I9" s="443"/>
      <c r="J9" s="443"/>
      <c r="K9" s="443"/>
      <c r="L9" s="261"/>
      <c r="M9" s="444" t="s">
        <v>195</v>
      </c>
      <c r="N9" s="443"/>
      <c r="O9" s="443"/>
      <c r="P9" s="261"/>
      <c r="Q9" s="444" t="s">
        <v>207</v>
      </c>
      <c r="R9" s="443"/>
      <c r="S9" s="443"/>
      <c r="T9" s="261"/>
      <c r="U9" s="261"/>
      <c r="V9" s="261"/>
      <c r="W9" s="262"/>
      <c r="X9" s="261"/>
      <c r="Y9" s="261"/>
    </row>
    <row r="10" spans="1:31" s="76" customFormat="1" ht="20.100000000000001" customHeight="1">
      <c r="A10" s="440" t="s">
        <v>220</v>
      </c>
      <c r="B10" s="441"/>
      <c r="C10" s="441"/>
      <c r="D10" s="441"/>
      <c r="E10" s="441"/>
      <c r="F10" s="441"/>
      <c r="G10" s="441"/>
      <c r="H10" s="441"/>
      <c r="I10" s="441"/>
      <c r="J10" s="441"/>
      <c r="K10" s="441"/>
      <c r="L10" s="446" t="s">
        <v>220</v>
      </c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268"/>
      <c r="AA10" s="268"/>
      <c r="AB10" s="268"/>
      <c r="AC10" s="268"/>
      <c r="AD10" s="268"/>
      <c r="AE10" s="268"/>
    </row>
    <row r="11" spans="1:31" s="76" customFormat="1" ht="20.100000000000001" customHeight="1">
      <c r="B11" s="436" t="s">
        <v>196</v>
      </c>
      <c r="C11" s="432" t="s">
        <v>47</v>
      </c>
      <c r="D11" s="432" t="s">
        <v>197</v>
      </c>
      <c r="E11" s="432" t="s">
        <v>198</v>
      </c>
      <c r="F11" s="433"/>
      <c r="G11" s="266" t="s">
        <v>199</v>
      </c>
      <c r="H11" s="264" t="s">
        <v>200</v>
      </c>
      <c r="I11" s="264" t="s">
        <v>201</v>
      </c>
      <c r="J11" s="435" t="s">
        <v>221</v>
      </c>
      <c r="K11" s="433"/>
      <c r="L11" s="277"/>
      <c r="M11" s="435" t="s">
        <v>196</v>
      </c>
      <c r="N11" s="432" t="s">
        <v>47</v>
      </c>
      <c r="O11" s="435" t="s">
        <v>46</v>
      </c>
      <c r="P11" s="435" t="s">
        <v>202</v>
      </c>
      <c r="Q11" s="433"/>
      <c r="R11" s="433"/>
      <c r="S11" s="433"/>
      <c r="T11" s="433"/>
      <c r="U11" s="433"/>
      <c r="V11" s="433"/>
      <c r="W11" s="433"/>
      <c r="X11" s="433"/>
      <c r="Y11" s="277"/>
      <c r="Z11" s="277"/>
      <c r="AA11" s="277"/>
      <c r="AB11" s="277"/>
      <c r="AC11" s="277"/>
      <c r="AD11" s="277"/>
      <c r="AE11" s="276"/>
    </row>
    <row r="12" spans="1:31" s="76" customFormat="1" ht="20.100000000000001" customHeight="1">
      <c r="B12" s="437"/>
      <c r="C12" s="433"/>
      <c r="D12" s="433"/>
      <c r="E12" s="266" t="s">
        <v>369</v>
      </c>
      <c r="F12" s="264" t="s">
        <v>370</v>
      </c>
      <c r="G12" s="266" t="s">
        <v>369</v>
      </c>
      <c r="H12" s="266" t="s">
        <v>370</v>
      </c>
      <c r="I12" s="266" t="s">
        <v>370</v>
      </c>
      <c r="J12" s="264" t="s">
        <v>371</v>
      </c>
      <c r="K12" s="266" t="s">
        <v>371</v>
      </c>
      <c r="L12" s="277"/>
      <c r="M12" s="433"/>
      <c r="N12" s="433"/>
      <c r="O12" s="433"/>
      <c r="P12" s="435" t="s">
        <v>369</v>
      </c>
      <c r="Q12" s="433"/>
      <c r="R12" s="433"/>
      <c r="S12" s="435" t="s">
        <v>370</v>
      </c>
      <c r="T12" s="433"/>
      <c r="U12" s="433"/>
      <c r="V12" s="435" t="s">
        <v>371</v>
      </c>
      <c r="W12" s="433"/>
      <c r="X12" s="433"/>
      <c r="Y12" s="276"/>
      <c r="Z12" s="277"/>
      <c r="AA12" s="277"/>
      <c r="AB12" s="276"/>
      <c r="AC12" s="277"/>
      <c r="AD12" s="277"/>
      <c r="AE12" s="276"/>
    </row>
    <row r="13" spans="1:31" s="76" customFormat="1" ht="20.100000000000001" customHeight="1">
      <c r="B13" s="437"/>
      <c r="C13" s="433"/>
      <c r="D13" s="433"/>
      <c r="E13" s="266" t="s">
        <v>5</v>
      </c>
      <c r="F13" s="264" t="s">
        <v>6</v>
      </c>
      <c r="G13" s="266" t="s">
        <v>5</v>
      </c>
      <c r="H13" s="266" t="s">
        <v>5</v>
      </c>
      <c r="I13" s="266" t="s">
        <v>5</v>
      </c>
      <c r="J13" s="264" t="s">
        <v>5</v>
      </c>
      <c r="K13" s="266" t="s">
        <v>6</v>
      </c>
      <c r="L13" s="277"/>
      <c r="M13" s="433"/>
      <c r="N13" s="433"/>
      <c r="O13" s="433"/>
      <c r="P13" s="435" t="s">
        <v>203</v>
      </c>
      <c r="Q13" s="266" t="s">
        <v>204</v>
      </c>
      <c r="R13" s="266" t="s">
        <v>205</v>
      </c>
      <c r="S13" s="435" t="s">
        <v>203</v>
      </c>
      <c r="T13" s="266" t="s">
        <v>204</v>
      </c>
      <c r="U13" s="266" t="s">
        <v>205</v>
      </c>
      <c r="V13" s="450" t="s">
        <v>203</v>
      </c>
      <c r="W13" s="259" t="s">
        <v>204</v>
      </c>
      <c r="X13" s="259" t="s">
        <v>205</v>
      </c>
      <c r="Y13" s="77"/>
      <c r="Z13" s="77"/>
      <c r="AA13" s="77"/>
      <c r="AB13" s="77"/>
      <c r="AC13" s="77"/>
      <c r="AD13" s="77"/>
      <c r="AE13" s="276"/>
    </row>
    <row r="14" spans="1:31" s="64" customFormat="1" ht="20.100000000000001" customHeight="1">
      <c r="B14" s="437"/>
      <c r="C14" s="433"/>
      <c r="D14" s="433"/>
      <c r="E14" s="243">
        <v>5</v>
      </c>
      <c r="F14" s="243">
        <v>5</v>
      </c>
      <c r="G14" s="243">
        <v>10</v>
      </c>
      <c r="H14" s="243">
        <v>10</v>
      </c>
      <c r="I14" s="243">
        <v>10</v>
      </c>
      <c r="J14" s="243">
        <v>6</v>
      </c>
      <c r="K14" s="243">
        <v>4</v>
      </c>
      <c r="L14" s="277"/>
      <c r="M14" s="433"/>
      <c r="N14" s="433"/>
      <c r="O14" s="433"/>
      <c r="P14" s="433"/>
      <c r="Q14" s="266">
        <v>100</v>
      </c>
      <c r="R14" s="273">
        <f>'Student Details'!U13</f>
        <v>0.6</v>
      </c>
      <c r="S14" s="433"/>
      <c r="T14" s="266">
        <v>100</v>
      </c>
      <c r="U14" s="273">
        <f>'Student Details'!U14</f>
        <v>0.6</v>
      </c>
      <c r="V14" s="433"/>
      <c r="W14" s="264">
        <v>100</v>
      </c>
      <c r="X14" s="274">
        <f>'Student Details'!U15</f>
        <v>0.6</v>
      </c>
      <c r="Y14" s="277"/>
      <c r="Z14" s="276"/>
      <c r="AA14" s="276"/>
      <c r="AB14" s="277"/>
      <c r="AC14" s="276"/>
      <c r="AD14" s="276"/>
      <c r="AE14" s="276"/>
    </row>
    <row r="15" spans="1:31" s="64" customFormat="1" ht="20.100000000000001" customHeight="1">
      <c r="B15" s="263">
        <v>1</v>
      </c>
      <c r="C15" s="260" t="str">
        <f>'Student Details'!D13</f>
        <v xml:space="preserve"> 14EE029</v>
      </c>
      <c r="D15" s="244" t="str">
        <f>'Student Details'!E13</f>
        <v xml:space="preserve"> VARUN K R</v>
      </c>
      <c r="E15">
        <v>3</v>
      </c>
      <c r="F15"/>
      <c r="G15">
        <v>7</v>
      </c>
      <c r="H15"/>
      <c r="I15">
        <v>3</v>
      </c>
      <c r="J15">
        <v>0</v>
      </c>
      <c r="K15">
        <v>1</v>
      </c>
      <c r="L15" s="58"/>
      <c r="M15" s="242">
        <v>1</v>
      </c>
      <c r="N15" s="278" t="str">
        <f>'Student Details'!D13</f>
        <v xml:space="preserve"> 14EE029</v>
      </c>
      <c r="O15" s="278" t="str">
        <f>'Student Details'!E13</f>
        <v xml:space="preserve"> VARUN K R</v>
      </c>
      <c r="P15" s="243">
        <f t="shared" ref="P15:P46" si="0">IF(SUM(E15,G15)=0,"NA",SUM(E15,G15))</f>
        <v>10</v>
      </c>
      <c r="Q15" s="273">
        <f t="shared" ref="Q15:Q46" si="1">IF(P15="NA","NA",IF(P15/(SUM(IF(E15&gt;0,$E$14,0),IF(G15&gt;0,$G$14,0)))=0,"",P15/(SUM(IF(E15&gt;0,$E$14,0),IF(G15&gt;0,$G$14,0)))))</f>
        <v>0.66666666666666663</v>
      </c>
      <c r="R15" s="264" t="str">
        <f t="shared" ref="R15:R46" si="2">IF(Q15="NA","NA",IF(Q15="","",IF(Q15&gt;=$R$14,"Y","N")))</f>
        <v>Y</v>
      </c>
      <c r="S15" s="249">
        <f t="shared" ref="S15:S46" si="3">IF(SUM(F15,H15,I15)=0,"NA",SUM(F15,H15,I15))</f>
        <v>3</v>
      </c>
      <c r="T15" s="274">
        <f t="shared" ref="T15:T46" si="4">IF(S15="NA","NA",IF(S15/(SUM(IF(F15&gt;0,$F$14,0),IF(H15&gt;0,$H$14,0),IF(I15&gt;0,$I$14,0)))=0,"",S15/(SUM(IF(F15&gt;0,$F$14,0),IF(H15&gt;0,$H$14,0),IF(I15&gt;0,$I$14,0)))))</f>
        <v>0.3</v>
      </c>
      <c r="U15" s="264" t="str">
        <f t="shared" ref="U15:U46" si="5">IF(T15="NA","NA",IF(T15="","",IF(T15&gt;=$U$14,"Y","N")))</f>
        <v>N</v>
      </c>
      <c r="V15" s="249">
        <f t="shared" ref="V15:V46" si="6">IF(SUM(J15,K15)=0,"NA",SUM(J15,K15))</f>
        <v>1</v>
      </c>
      <c r="W15" s="274">
        <f t="shared" ref="W15:W46" si="7">IF(V15="NA","NA",IF(V15/(SUM(IF(J15&gt;0,$J$14,0),IF(K15&gt;0,$K$14,0)))=0,"",V15/(SUM(IF(J15&gt;0,$J$14,0),IF(K15&gt;0,$K$14,0)))))</f>
        <v>0.25</v>
      </c>
      <c r="X15" s="264" t="str">
        <f t="shared" ref="X15:X46" si="8">IF(W15="NA","NA",IF(W15="","",IF(W15&gt;=$X$14,"Y","N")))</f>
        <v>N</v>
      </c>
    </row>
    <row r="16" spans="1:31" s="64" customFormat="1" ht="20.100000000000001" customHeight="1">
      <c r="B16" s="263">
        <v>2</v>
      </c>
      <c r="C16" s="260" t="str">
        <f>'Student Details'!D14</f>
        <v xml:space="preserve"> 15EE032</v>
      </c>
      <c r="D16" s="244" t="str">
        <f>'Student Details'!E14</f>
        <v xml:space="preserve"> PUNEETH R</v>
      </c>
      <c r="E16">
        <v>3</v>
      </c>
      <c r="F16">
        <v>3</v>
      </c>
      <c r="G16">
        <v>1</v>
      </c>
      <c r="H16">
        <v>0</v>
      </c>
      <c r="I16"/>
      <c r="J16">
        <v>0</v>
      </c>
      <c r="K16">
        <v>3</v>
      </c>
      <c r="L16" s="58"/>
      <c r="M16" s="242">
        <v>2</v>
      </c>
      <c r="N16" s="278" t="str">
        <f>'Student Details'!D14</f>
        <v xml:space="preserve"> 15EE032</v>
      </c>
      <c r="O16" s="278" t="str">
        <f>'Student Details'!E14</f>
        <v xml:space="preserve"> PUNEETH R</v>
      </c>
      <c r="P16" s="243">
        <f t="shared" si="0"/>
        <v>4</v>
      </c>
      <c r="Q16" s="273">
        <f t="shared" si="1"/>
        <v>0.26666666666666666</v>
      </c>
      <c r="R16" s="264" t="str">
        <f t="shared" si="2"/>
        <v>N</v>
      </c>
      <c r="S16" s="249">
        <f t="shared" si="3"/>
        <v>3</v>
      </c>
      <c r="T16" s="274">
        <f t="shared" si="4"/>
        <v>0.6</v>
      </c>
      <c r="U16" s="264" t="str">
        <f t="shared" si="5"/>
        <v>Y</v>
      </c>
      <c r="V16" s="249">
        <f t="shared" si="6"/>
        <v>3</v>
      </c>
      <c r="W16" s="274">
        <f t="shared" si="7"/>
        <v>0.75</v>
      </c>
      <c r="X16" s="264" t="str">
        <f t="shared" si="8"/>
        <v>Y</v>
      </c>
    </row>
    <row r="17" spans="2:24" s="64" customFormat="1" ht="20.100000000000001" customHeight="1">
      <c r="B17" s="263">
        <v>3</v>
      </c>
      <c r="C17" s="278" t="str">
        <f>'Student Details'!D15</f>
        <v xml:space="preserve"> 16EE004</v>
      </c>
      <c r="D17" s="278" t="str">
        <f>'Student Details'!E15</f>
        <v xml:space="preserve"> ANIL S BARKI</v>
      </c>
      <c r="E17">
        <v>4</v>
      </c>
      <c r="F17">
        <v>2</v>
      </c>
      <c r="G17">
        <v>7</v>
      </c>
      <c r="H17">
        <v>4</v>
      </c>
      <c r="I17"/>
      <c r="J17">
        <v>0</v>
      </c>
      <c r="K17">
        <v>3</v>
      </c>
      <c r="L17" s="58"/>
      <c r="M17" s="242">
        <v>3</v>
      </c>
      <c r="N17" s="278" t="str">
        <f>'Student Details'!D15</f>
        <v xml:space="preserve"> 16EE004</v>
      </c>
      <c r="O17" s="278" t="str">
        <f>'Student Details'!E15</f>
        <v xml:space="preserve"> ANIL S BARKI</v>
      </c>
      <c r="P17" s="243">
        <f t="shared" si="0"/>
        <v>11</v>
      </c>
      <c r="Q17" s="273">
        <f t="shared" si="1"/>
        <v>0.73333333333333328</v>
      </c>
      <c r="R17" s="264" t="str">
        <f t="shared" si="2"/>
        <v>Y</v>
      </c>
      <c r="S17" s="249">
        <f t="shared" si="3"/>
        <v>6</v>
      </c>
      <c r="T17" s="274">
        <f t="shared" si="4"/>
        <v>0.4</v>
      </c>
      <c r="U17" s="264" t="str">
        <f t="shared" si="5"/>
        <v>N</v>
      </c>
      <c r="V17" s="249">
        <f t="shared" si="6"/>
        <v>3</v>
      </c>
      <c r="W17" s="274">
        <f t="shared" si="7"/>
        <v>0.75</v>
      </c>
      <c r="X17" s="264" t="str">
        <f t="shared" si="8"/>
        <v>Y</v>
      </c>
    </row>
    <row r="18" spans="2:24" s="64" customFormat="1" ht="20.100000000000001" customHeight="1">
      <c r="B18" s="263">
        <v>4</v>
      </c>
      <c r="C18" s="278" t="str">
        <f>'Student Details'!D16</f>
        <v xml:space="preserve"> 16EE005</v>
      </c>
      <c r="D18" s="278" t="str">
        <f>'Student Details'!E16</f>
        <v xml:space="preserve"> ARCHANA B.</v>
      </c>
      <c r="E18">
        <v>5</v>
      </c>
      <c r="F18">
        <v>5</v>
      </c>
      <c r="G18">
        <v>10</v>
      </c>
      <c r="H18">
        <v>9</v>
      </c>
      <c r="I18">
        <v>4</v>
      </c>
      <c r="J18">
        <v>5</v>
      </c>
      <c r="K18">
        <v>4</v>
      </c>
      <c r="L18" s="58"/>
      <c r="M18" s="242">
        <v>4</v>
      </c>
      <c r="N18" s="278" t="str">
        <f>'Student Details'!D16</f>
        <v xml:space="preserve"> 16EE005</v>
      </c>
      <c r="O18" s="278" t="str">
        <f>'Student Details'!E16</f>
        <v xml:space="preserve"> ARCHANA B.</v>
      </c>
      <c r="P18" s="243">
        <f t="shared" si="0"/>
        <v>15</v>
      </c>
      <c r="Q18" s="273">
        <f t="shared" si="1"/>
        <v>1</v>
      </c>
      <c r="R18" s="264" t="str">
        <f t="shared" si="2"/>
        <v>Y</v>
      </c>
      <c r="S18" s="249">
        <f t="shared" si="3"/>
        <v>18</v>
      </c>
      <c r="T18" s="274">
        <f t="shared" si="4"/>
        <v>0.72</v>
      </c>
      <c r="U18" s="264" t="str">
        <f t="shared" si="5"/>
        <v>Y</v>
      </c>
      <c r="V18" s="249">
        <f t="shared" si="6"/>
        <v>9</v>
      </c>
      <c r="W18" s="274">
        <f t="shared" si="7"/>
        <v>0.9</v>
      </c>
      <c r="X18" s="264" t="str">
        <f t="shared" si="8"/>
        <v>Y</v>
      </c>
    </row>
    <row r="19" spans="2:24" s="64" customFormat="1" ht="20.100000000000001" customHeight="1">
      <c r="B19" s="263">
        <v>5</v>
      </c>
      <c r="C19" s="278" t="str">
        <f>'Student Details'!D17</f>
        <v xml:space="preserve"> 16EE006</v>
      </c>
      <c r="D19" s="278" t="str">
        <f>'Student Details'!E17</f>
        <v xml:space="preserve"> AYESHA SHAMAIL</v>
      </c>
      <c r="E19">
        <v>5</v>
      </c>
      <c r="F19">
        <v>4</v>
      </c>
      <c r="G19">
        <v>10</v>
      </c>
      <c r="H19">
        <v>8</v>
      </c>
      <c r="I19">
        <v>0</v>
      </c>
      <c r="J19">
        <v>1</v>
      </c>
      <c r="K19">
        <v>2</v>
      </c>
      <c r="L19" s="58"/>
      <c r="M19" s="242">
        <v>5</v>
      </c>
      <c r="N19" s="278" t="str">
        <f>'Student Details'!D17</f>
        <v xml:space="preserve"> 16EE006</v>
      </c>
      <c r="O19" s="278" t="str">
        <f>'Student Details'!E17</f>
        <v xml:space="preserve"> AYESHA SHAMAIL</v>
      </c>
      <c r="P19" s="243">
        <f t="shared" si="0"/>
        <v>15</v>
      </c>
      <c r="Q19" s="273">
        <f t="shared" si="1"/>
        <v>1</v>
      </c>
      <c r="R19" s="264" t="str">
        <f t="shared" si="2"/>
        <v>Y</v>
      </c>
      <c r="S19" s="249">
        <f t="shared" si="3"/>
        <v>12</v>
      </c>
      <c r="T19" s="274">
        <f t="shared" si="4"/>
        <v>0.8</v>
      </c>
      <c r="U19" s="264" t="str">
        <f t="shared" si="5"/>
        <v>Y</v>
      </c>
      <c r="V19" s="249">
        <f t="shared" si="6"/>
        <v>3</v>
      </c>
      <c r="W19" s="274">
        <f t="shared" si="7"/>
        <v>0.3</v>
      </c>
      <c r="X19" s="264" t="str">
        <f t="shared" si="8"/>
        <v>N</v>
      </c>
    </row>
    <row r="20" spans="2:24" s="64" customFormat="1" ht="20.100000000000001" customHeight="1">
      <c r="B20" s="263">
        <v>6</v>
      </c>
      <c r="C20" s="278" t="str">
        <f>'Student Details'!D18</f>
        <v xml:space="preserve"> 16EE008</v>
      </c>
      <c r="D20" s="278" t="str">
        <f>'Student Details'!E18</f>
        <v xml:space="preserve"> BHAGYASHREE</v>
      </c>
      <c r="E20">
        <v>3</v>
      </c>
      <c r="F20">
        <v>1</v>
      </c>
      <c r="G20">
        <v>10</v>
      </c>
      <c r="H20"/>
      <c r="I20">
        <v>3</v>
      </c>
      <c r="J20">
        <v>4</v>
      </c>
      <c r="K20">
        <v>3</v>
      </c>
      <c r="L20" s="58"/>
      <c r="M20" s="242">
        <v>6</v>
      </c>
      <c r="N20" s="278" t="str">
        <f>'Student Details'!D18</f>
        <v xml:space="preserve"> 16EE008</v>
      </c>
      <c r="O20" s="278" t="str">
        <f>'Student Details'!E18</f>
        <v xml:space="preserve"> BHAGYASHREE</v>
      </c>
      <c r="P20" s="243">
        <f t="shared" si="0"/>
        <v>13</v>
      </c>
      <c r="Q20" s="273">
        <f t="shared" si="1"/>
        <v>0.8666666666666667</v>
      </c>
      <c r="R20" s="264" t="str">
        <f t="shared" si="2"/>
        <v>Y</v>
      </c>
      <c r="S20" s="249">
        <f t="shared" si="3"/>
        <v>4</v>
      </c>
      <c r="T20" s="274">
        <f t="shared" si="4"/>
        <v>0.26666666666666666</v>
      </c>
      <c r="U20" s="264" t="str">
        <f t="shared" si="5"/>
        <v>N</v>
      </c>
      <c r="V20" s="249">
        <f t="shared" si="6"/>
        <v>7</v>
      </c>
      <c r="W20" s="274">
        <f t="shared" si="7"/>
        <v>0.7</v>
      </c>
      <c r="X20" s="264" t="str">
        <f t="shared" si="8"/>
        <v>Y</v>
      </c>
    </row>
    <row r="21" spans="2:24" s="64" customFormat="1" ht="20.100000000000001" customHeight="1">
      <c r="B21" s="263">
        <v>7</v>
      </c>
      <c r="C21" s="278" t="str">
        <f>'Student Details'!D19</f>
        <v xml:space="preserve"> 16EE009</v>
      </c>
      <c r="D21" s="278" t="str">
        <f>'Student Details'!E19</f>
        <v xml:space="preserve"> BHAVANA H M</v>
      </c>
      <c r="E21">
        <v>0</v>
      </c>
      <c r="F21">
        <v>0</v>
      </c>
      <c r="G21">
        <v>7</v>
      </c>
      <c r="H21">
        <v>4</v>
      </c>
      <c r="I21">
        <v>3</v>
      </c>
      <c r="J21">
        <v>0</v>
      </c>
      <c r="K21">
        <v>2</v>
      </c>
      <c r="L21" s="58"/>
      <c r="M21" s="242">
        <v>7</v>
      </c>
      <c r="N21" s="278" t="str">
        <f>'Student Details'!D19</f>
        <v xml:space="preserve"> 16EE009</v>
      </c>
      <c r="O21" s="278" t="str">
        <f>'Student Details'!E19</f>
        <v xml:space="preserve"> BHAVANA H M</v>
      </c>
      <c r="P21" s="243">
        <f t="shared" si="0"/>
        <v>7</v>
      </c>
      <c r="Q21" s="273">
        <f t="shared" si="1"/>
        <v>0.7</v>
      </c>
      <c r="R21" s="264" t="str">
        <f t="shared" si="2"/>
        <v>Y</v>
      </c>
      <c r="S21" s="249">
        <f t="shared" si="3"/>
        <v>7</v>
      </c>
      <c r="T21" s="274">
        <f t="shared" si="4"/>
        <v>0.35</v>
      </c>
      <c r="U21" s="264" t="str">
        <f t="shared" si="5"/>
        <v>N</v>
      </c>
      <c r="V21" s="249">
        <f t="shared" si="6"/>
        <v>2</v>
      </c>
      <c r="W21" s="274">
        <f t="shared" si="7"/>
        <v>0.5</v>
      </c>
      <c r="X21" s="264" t="str">
        <f t="shared" si="8"/>
        <v>N</v>
      </c>
    </row>
    <row r="22" spans="2:24" s="64" customFormat="1" ht="20.100000000000001" customHeight="1">
      <c r="B22" s="263">
        <v>8</v>
      </c>
      <c r="C22" s="260" t="str">
        <f>'Student Details'!D20</f>
        <v xml:space="preserve"> 16EE010</v>
      </c>
      <c r="D22" s="244" t="str">
        <f>'Student Details'!E20</f>
        <v xml:space="preserve"> BHIMANAIKA Y</v>
      </c>
      <c r="E22">
        <v>2</v>
      </c>
      <c r="F22">
        <v>4</v>
      </c>
      <c r="G22">
        <v>7</v>
      </c>
      <c r="H22">
        <v>0</v>
      </c>
      <c r="I22">
        <v>2</v>
      </c>
      <c r="J22">
        <v>3</v>
      </c>
      <c r="K22">
        <v>2</v>
      </c>
      <c r="L22" s="58"/>
      <c r="M22" s="242">
        <v>8</v>
      </c>
      <c r="N22" s="278" t="str">
        <f>'Student Details'!D20</f>
        <v xml:space="preserve"> 16EE010</v>
      </c>
      <c r="O22" s="278" t="str">
        <f>'Student Details'!E20</f>
        <v xml:space="preserve"> BHIMANAIKA Y</v>
      </c>
      <c r="P22" s="243">
        <f t="shared" si="0"/>
        <v>9</v>
      </c>
      <c r="Q22" s="273">
        <f t="shared" si="1"/>
        <v>0.6</v>
      </c>
      <c r="R22" s="264" t="str">
        <f t="shared" si="2"/>
        <v>Y</v>
      </c>
      <c r="S22" s="249">
        <f t="shared" si="3"/>
        <v>6</v>
      </c>
      <c r="T22" s="274">
        <f t="shared" si="4"/>
        <v>0.4</v>
      </c>
      <c r="U22" s="264" t="str">
        <f t="shared" si="5"/>
        <v>N</v>
      </c>
      <c r="V22" s="249">
        <f t="shared" si="6"/>
        <v>5</v>
      </c>
      <c r="W22" s="274">
        <f t="shared" si="7"/>
        <v>0.5</v>
      </c>
      <c r="X22" s="264" t="str">
        <f t="shared" si="8"/>
        <v>N</v>
      </c>
    </row>
    <row r="23" spans="2:24" s="64" customFormat="1" ht="20.100000000000001" customHeight="1">
      <c r="B23" s="263">
        <v>9</v>
      </c>
      <c r="C23" s="260" t="str">
        <f>'Student Details'!D21</f>
        <v xml:space="preserve"> 16EE011</v>
      </c>
      <c r="D23" s="244" t="str">
        <f>'Student Details'!E21</f>
        <v xml:space="preserve"> BINDUSHREE T.A.</v>
      </c>
      <c r="E23">
        <v>4</v>
      </c>
      <c r="F23">
        <v>4</v>
      </c>
      <c r="G23">
        <v>8</v>
      </c>
      <c r="H23">
        <v>5</v>
      </c>
      <c r="I23"/>
      <c r="J23">
        <v>5</v>
      </c>
      <c r="K23"/>
      <c r="L23" s="58"/>
      <c r="M23" s="242">
        <v>9</v>
      </c>
      <c r="N23" s="278" t="str">
        <f>'Student Details'!D21</f>
        <v xml:space="preserve"> 16EE011</v>
      </c>
      <c r="O23" s="278" t="str">
        <f>'Student Details'!E21</f>
        <v xml:space="preserve"> BINDUSHREE T.A.</v>
      </c>
      <c r="P23" s="243">
        <f t="shared" si="0"/>
        <v>12</v>
      </c>
      <c r="Q23" s="273">
        <f t="shared" si="1"/>
        <v>0.8</v>
      </c>
      <c r="R23" s="264" t="str">
        <f t="shared" si="2"/>
        <v>Y</v>
      </c>
      <c r="S23" s="249">
        <f t="shared" si="3"/>
        <v>9</v>
      </c>
      <c r="T23" s="274">
        <f t="shared" si="4"/>
        <v>0.6</v>
      </c>
      <c r="U23" s="264" t="str">
        <f t="shared" si="5"/>
        <v>Y</v>
      </c>
      <c r="V23" s="249">
        <f t="shared" si="6"/>
        <v>5</v>
      </c>
      <c r="W23" s="274">
        <f t="shared" si="7"/>
        <v>0.83333333333333337</v>
      </c>
      <c r="X23" s="264" t="str">
        <f t="shared" si="8"/>
        <v>Y</v>
      </c>
    </row>
    <row r="24" spans="2:24" s="64" customFormat="1" ht="20.100000000000001" customHeight="1">
      <c r="B24" s="263">
        <v>10</v>
      </c>
      <c r="C24" s="260" t="str">
        <f>'Student Details'!D22</f>
        <v xml:space="preserve"> 16EE012</v>
      </c>
      <c r="D24" s="244" t="str">
        <f>'Student Details'!E22</f>
        <v xml:space="preserve"> BRUNDA S</v>
      </c>
      <c r="E24">
        <v>4</v>
      </c>
      <c r="F24">
        <v>4</v>
      </c>
      <c r="G24">
        <v>10</v>
      </c>
      <c r="H24">
        <v>9</v>
      </c>
      <c r="I24">
        <v>7</v>
      </c>
      <c r="J24">
        <v>5</v>
      </c>
      <c r="K24">
        <v>4</v>
      </c>
      <c r="L24" s="58"/>
      <c r="M24" s="242">
        <v>10</v>
      </c>
      <c r="N24" s="278" t="str">
        <f>'Student Details'!D22</f>
        <v xml:space="preserve"> 16EE012</v>
      </c>
      <c r="O24" s="278" t="str">
        <f>'Student Details'!E22</f>
        <v xml:space="preserve"> BRUNDA S</v>
      </c>
      <c r="P24" s="243">
        <f t="shared" si="0"/>
        <v>14</v>
      </c>
      <c r="Q24" s="273">
        <f t="shared" si="1"/>
        <v>0.93333333333333335</v>
      </c>
      <c r="R24" s="264" t="str">
        <f t="shared" si="2"/>
        <v>Y</v>
      </c>
      <c r="S24" s="249">
        <f t="shared" si="3"/>
        <v>20</v>
      </c>
      <c r="T24" s="274">
        <f t="shared" si="4"/>
        <v>0.8</v>
      </c>
      <c r="U24" s="264" t="str">
        <f t="shared" si="5"/>
        <v>Y</v>
      </c>
      <c r="V24" s="249">
        <f t="shared" si="6"/>
        <v>9</v>
      </c>
      <c r="W24" s="274">
        <f t="shared" si="7"/>
        <v>0.9</v>
      </c>
      <c r="X24" s="264" t="str">
        <f t="shared" si="8"/>
        <v>Y</v>
      </c>
    </row>
    <row r="25" spans="2:24" s="64" customFormat="1" ht="20.100000000000001" customHeight="1">
      <c r="B25" s="263">
        <v>11</v>
      </c>
      <c r="C25" s="260" t="str">
        <f>'Student Details'!D23</f>
        <v xml:space="preserve"> 16EE013</v>
      </c>
      <c r="D25" s="244" t="str">
        <f>'Student Details'!E23</f>
        <v xml:space="preserve"> CHAITHRA S</v>
      </c>
      <c r="E25">
        <v>4</v>
      </c>
      <c r="F25">
        <v>0</v>
      </c>
      <c r="G25">
        <v>8</v>
      </c>
      <c r="H25">
        <v>7</v>
      </c>
      <c r="I25">
        <v>6</v>
      </c>
      <c r="J25">
        <v>2</v>
      </c>
      <c r="K25">
        <v>2</v>
      </c>
      <c r="L25" s="58"/>
      <c r="M25" s="242">
        <v>11</v>
      </c>
      <c r="N25" s="278" t="str">
        <f>'Student Details'!D23</f>
        <v xml:space="preserve"> 16EE013</v>
      </c>
      <c r="O25" s="278" t="str">
        <f>'Student Details'!E23</f>
        <v xml:space="preserve"> CHAITHRA S</v>
      </c>
      <c r="P25" s="243">
        <f t="shared" si="0"/>
        <v>12</v>
      </c>
      <c r="Q25" s="273">
        <f t="shared" si="1"/>
        <v>0.8</v>
      </c>
      <c r="R25" s="264" t="str">
        <f t="shared" si="2"/>
        <v>Y</v>
      </c>
      <c r="S25" s="249">
        <f t="shared" si="3"/>
        <v>13</v>
      </c>
      <c r="T25" s="274">
        <f t="shared" si="4"/>
        <v>0.65</v>
      </c>
      <c r="U25" s="264" t="str">
        <f t="shared" si="5"/>
        <v>Y</v>
      </c>
      <c r="V25" s="249">
        <f t="shared" si="6"/>
        <v>4</v>
      </c>
      <c r="W25" s="274">
        <f t="shared" si="7"/>
        <v>0.4</v>
      </c>
      <c r="X25" s="264" t="str">
        <f t="shared" si="8"/>
        <v>N</v>
      </c>
    </row>
    <row r="26" spans="2:24" s="64" customFormat="1" ht="20.100000000000001" customHeight="1">
      <c r="B26" s="263">
        <v>12</v>
      </c>
      <c r="C26" s="260" t="str">
        <f>'Student Details'!D24</f>
        <v xml:space="preserve"> 16EE014</v>
      </c>
      <c r="D26" s="244" t="str">
        <f>'Student Details'!E24</f>
        <v xml:space="preserve"> CHETHAN M</v>
      </c>
      <c r="E26">
        <v>4</v>
      </c>
      <c r="F26">
        <v>2</v>
      </c>
      <c r="G26">
        <v>10</v>
      </c>
      <c r="H26">
        <v>8</v>
      </c>
      <c r="I26">
        <v>6</v>
      </c>
      <c r="J26">
        <v>2</v>
      </c>
      <c r="K26">
        <v>1</v>
      </c>
      <c r="L26" s="58"/>
      <c r="M26" s="242">
        <v>12</v>
      </c>
      <c r="N26" s="278" t="str">
        <f>'Student Details'!D24</f>
        <v xml:space="preserve"> 16EE014</v>
      </c>
      <c r="O26" s="278" t="str">
        <f>'Student Details'!E24</f>
        <v xml:space="preserve"> CHETHAN M</v>
      </c>
      <c r="P26" s="243">
        <f t="shared" si="0"/>
        <v>14</v>
      </c>
      <c r="Q26" s="273">
        <f t="shared" si="1"/>
        <v>0.93333333333333335</v>
      </c>
      <c r="R26" s="264" t="str">
        <f t="shared" si="2"/>
        <v>Y</v>
      </c>
      <c r="S26" s="249">
        <f t="shared" si="3"/>
        <v>16</v>
      </c>
      <c r="T26" s="274">
        <f t="shared" si="4"/>
        <v>0.64</v>
      </c>
      <c r="U26" s="264" t="str">
        <f t="shared" si="5"/>
        <v>Y</v>
      </c>
      <c r="V26" s="249">
        <f t="shared" si="6"/>
        <v>3</v>
      </c>
      <c r="W26" s="274">
        <f t="shared" si="7"/>
        <v>0.3</v>
      </c>
      <c r="X26" s="264" t="str">
        <f t="shared" si="8"/>
        <v>N</v>
      </c>
    </row>
    <row r="27" spans="2:24" s="64" customFormat="1" ht="20.100000000000001" customHeight="1">
      <c r="B27" s="263">
        <v>13</v>
      </c>
      <c r="C27" s="260" t="str">
        <f>'Student Details'!D25</f>
        <v xml:space="preserve"> 16EE016</v>
      </c>
      <c r="D27" s="244" t="str">
        <f>'Student Details'!E25</f>
        <v xml:space="preserve"> DEEKSHITH M S</v>
      </c>
      <c r="E27">
        <v>4</v>
      </c>
      <c r="F27">
        <v>4</v>
      </c>
      <c r="G27">
        <v>10</v>
      </c>
      <c r="H27">
        <v>8</v>
      </c>
      <c r="I27">
        <v>3</v>
      </c>
      <c r="J27">
        <v>5</v>
      </c>
      <c r="K27">
        <v>1</v>
      </c>
      <c r="L27" s="58"/>
      <c r="M27" s="242">
        <v>13</v>
      </c>
      <c r="N27" s="278" t="str">
        <f>'Student Details'!D25</f>
        <v xml:space="preserve"> 16EE016</v>
      </c>
      <c r="O27" s="278" t="str">
        <f>'Student Details'!E25</f>
        <v xml:space="preserve"> DEEKSHITH M S</v>
      </c>
      <c r="P27" s="243">
        <f t="shared" si="0"/>
        <v>14</v>
      </c>
      <c r="Q27" s="273">
        <f t="shared" si="1"/>
        <v>0.93333333333333335</v>
      </c>
      <c r="R27" s="264" t="str">
        <f t="shared" si="2"/>
        <v>Y</v>
      </c>
      <c r="S27" s="249">
        <f t="shared" si="3"/>
        <v>15</v>
      </c>
      <c r="T27" s="274">
        <f t="shared" si="4"/>
        <v>0.6</v>
      </c>
      <c r="U27" s="264" t="str">
        <f t="shared" si="5"/>
        <v>Y</v>
      </c>
      <c r="V27" s="249">
        <f t="shared" si="6"/>
        <v>6</v>
      </c>
      <c r="W27" s="274">
        <f t="shared" si="7"/>
        <v>0.6</v>
      </c>
      <c r="X27" s="264" t="str">
        <f t="shared" si="8"/>
        <v>Y</v>
      </c>
    </row>
    <row r="28" spans="2:24" s="64" customFormat="1" ht="20.100000000000001" customHeight="1">
      <c r="B28" s="263">
        <v>14</v>
      </c>
      <c r="C28" s="260" t="str">
        <f>'Student Details'!D26</f>
        <v xml:space="preserve"> 16EE017</v>
      </c>
      <c r="D28" s="244" t="str">
        <f>'Student Details'!E26</f>
        <v xml:space="preserve"> DEEPTI M HONGUTHI</v>
      </c>
      <c r="E28">
        <v>4</v>
      </c>
      <c r="F28">
        <v>4</v>
      </c>
      <c r="G28">
        <v>10</v>
      </c>
      <c r="H28">
        <v>5</v>
      </c>
      <c r="I28">
        <v>2</v>
      </c>
      <c r="J28">
        <v>0</v>
      </c>
      <c r="K28">
        <v>4</v>
      </c>
      <c r="L28" s="58"/>
      <c r="M28" s="242">
        <v>14</v>
      </c>
      <c r="N28" s="278" t="str">
        <f>'Student Details'!D26</f>
        <v xml:space="preserve"> 16EE017</v>
      </c>
      <c r="O28" s="278" t="str">
        <f>'Student Details'!E26</f>
        <v xml:space="preserve"> DEEPTI M HONGUTHI</v>
      </c>
      <c r="P28" s="243">
        <f t="shared" si="0"/>
        <v>14</v>
      </c>
      <c r="Q28" s="273">
        <f t="shared" si="1"/>
        <v>0.93333333333333335</v>
      </c>
      <c r="R28" s="264" t="str">
        <f t="shared" si="2"/>
        <v>Y</v>
      </c>
      <c r="S28" s="249">
        <f t="shared" si="3"/>
        <v>11</v>
      </c>
      <c r="T28" s="274">
        <f t="shared" si="4"/>
        <v>0.44</v>
      </c>
      <c r="U28" s="264" t="str">
        <f t="shared" si="5"/>
        <v>N</v>
      </c>
      <c r="V28" s="249">
        <f t="shared" si="6"/>
        <v>4</v>
      </c>
      <c r="W28" s="274">
        <f t="shared" si="7"/>
        <v>1</v>
      </c>
      <c r="X28" s="264" t="str">
        <f t="shared" si="8"/>
        <v>Y</v>
      </c>
    </row>
    <row r="29" spans="2:24" s="64" customFormat="1" ht="20.100000000000001" customHeight="1">
      <c r="B29" s="263">
        <v>15</v>
      </c>
      <c r="C29" s="260" t="str">
        <f>'Student Details'!D27</f>
        <v xml:space="preserve"> 16EE020</v>
      </c>
      <c r="D29" s="244" t="str">
        <f>'Student Details'!E27</f>
        <v xml:space="preserve"> HARSHA</v>
      </c>
      <c r="E29">
        <v>4</v>
      </c>
      <c r="F29">
        <v>2</v>
      </c>
      <c r="G29">
        <v>8</v>
      </c>
      <c r="H29"/>
      <c r="I29">
        <v>3</v>
      </c>
      <c r="J29">
        <v>0</v>
      </c>
      <c r="K29">
        <v>2</v>
      </c>
      <c r="L29" s="58"/>
      <c r="M29" s="242">
        <v>15</v>
      </c>
      <c r="N29" s="278" t="str">
        <f>'Student Details'!D27</f>
        <v xml:space="preserve"> 16EE020</v>
      </c>
      <c r="O29" s="278" t="str">
        <f>'Student Details'!E27</f>
        <v xml:space="preserve"> HARSHA</v>
      </c>
      <c r="P29" s="243">
        <f t="shared" si="0"/>
        <v>12</v>
      </c>
      <c r="Q29" s="273">
        <f t="shared" si="1"/>
        <v>0.8</v>
      </c>
      <c r="R29" s="264" t="str">
        <f t="shared" si="2"/>
        <v>Y</v>
      </c>
      <c r="S29" s="249">
        <f t="shared" si="3"/>
        <v>5</v>
      </c>
      <c r="T29" s="274">
        <f t="shared" si="4"/>
        <v>0.33333333333333331</v>
      </c>
      <c r="U29" s="264" t="str">
        <f t="shared" si="5"/>
        <v>N</v>
      </c>
      <c r="V29" s="249">
        <f t="shared" si="6"/>
        <v>2</v>
      </c>
      <c r="W29" s="274">
        <f t="shared" si="7"/>
        <v>0.5</v>
      </c>
      <c r="X29" s="264" t="str">
        <f t="shared" si="8"/>
        <v>N</v>
      </c>
    </row>
    <row r="30" spans="2:24" s="64" customFormat="1" ht="20.100000000000001" customHeight="1">
      <c r="B30" s="263">
        <v>16</v>
      </c>
      <c r="C30" s="260" t="str">
        <f>'Student Details'!D28</f>
        <v xml:space="preserve"> 16EE021</v>
      </c>
      <c r="D30" s="244" t="str">
        <f>'Student Details'!E28</f>
        <v xml:space="preserve"> JEEVITHA L R</v>
      </c>
      <c r="E30">
        <v>4</v>
      </c>
      <c r="F30">
        <v>4</v>
      </c>
      <c r="G30">
        <v>10</v>
      </c>
      <c r="H30">
        <v>9</v>
      </c>
      <c r="I30">
        <v>10</v>
      </c>
      <c r="J30">
        <v>5</v>
      </c>
      <c r="K30">
        <v>4</v>
      </c>
      <c r="L30" s="58"/>
      <c r="M30" s="242">
        <v>16</v>
      </c>
      <c r="N30" s="278" t="str">
        <f>'Student Details'!D28</f>
        <v xml:space="preserve"> 16EE021</v>
      </c>
      <c r="O30" s="278" t="str">
        <f>'Student Details'!E28</f>
        <v xml:space="preserve"> JEEVITHA L R</v>
      </c>
      <c r="P30" s="243">
        <f t="shared" si="0"/>
        <v>14</v>
      </c>
      <c r="Q30" s="273">
        <f t="shared" si="1"/>
        <v>0.93333333333333335</v>
      </c>
      <c r="R30" s="264" t="str">
        <f t="shared" si="2"/>
        <v>Y</v>
      </c>
      <c r="S30" s="249">
        <f t="shared" si="3"/>
        <v>23</v>
      </c>
      <c r="T30" s="274">
        <f t="shared" si="4"/>
        <v>0.92</v>
      </c>
      <c r="U30" s="264" t="str">
        <f t="shared" si="5"/>
        <v>Y</v>
      </c>
      <c r="V30" s="249">
        <f t="shared" si="6"/>
        <v>9</v>
      </c>
      <c r="W30" s="274">
        <f t="shared" si="7"/>
        <v>0.9</v>
      </c>
      <c r="X30" s="264" t="str">
        <f t="shared" si="8"/>
        <v>Y</v>
      </c>
    </row>
    <row r="31" spans="2:24" s="64" customFormat="1" ht="20.100000000000001" customHeight="1">
      <c r="B31" s="263">
        <v>17</v>
      </c>
      <c r="C31" s="260" t="str">
        <f>'Student Details'!D29</f>
        <v xml:space="preserve"> 16EE022</v>
      </c>
      <c r="D31" s="244" t="str">
        <f>'Student Details'!E29</f>
        <v xml:space="preserve"> JULEKHA B</v>
      </c>
      <c r="E31">
        <v>3</v>
      </c>
      <c r="F31">
        <v>4</v>
      </c>
      <c r="G31">
        <v>10</v>
      </c>
      <c r="H31">
        <v>8</v>
      </c>
      <c r="I31">
        <v>2</v>
      </c>
      <c r="J31">
        <v>5</v>
      </c>
      <c r="K31">
        <v>3</v>
      </c>
      <c r="L31" s="58"/>
      <c r="M31" s="242">
        <v>17</v>
      </c>
      <c r="N31" s="278" t="str">
        <f>'Student Details'!D29</f>
        <v xml:space="preserve"> 16EE022</v>
      </c>
      <c r="O31" s="278" t="str">
        <f>'Student Details'!E29</f>
        <v xml:space="preserve"> JULEKHA B</v>
      </c>
      <c r="P31" s="243">
        <f t="shared" si="0"/>
        <v>13</v>
      </c>
      <c r="Q31" s="273">
        <f t="shared" si="1"/>
        <v>0.8666666666666667</v>
      </c>
      <c r="R31" s="264" t="str">
        <f t="shared" si="2"/>
        <v>Y</v>
      </c>
      <c r="S31" s="249">
        <f t="shared" si="3"/>
        <v>14</v>
      </c>
      <c r="T31" s="274">
        <f t="shared" si="4"/>
        <v>0.56000000000000005</v>
      </c>
      <c r="U31" s="264" t="str">
        <f t="shared" si="5"/>
        <v>N</v>
      </c>
      <c r="V31" s="249">
        <f t="shared" si="6"/>
        <v>8</v>
      </c>
      <c r="W31" s="274">
        <f t="shared" si="7"/>
        <v>0.8</v>
      </c>
      <c r="X31" s="264" t="str">
        <f t="shared" si="8"/>
        <v>Y</v>
      </c>
    </row>
    <row r="32" spans="2:24" s="64" customFormat="1" ht="20.100000000000001" customHeight="1">
      <c r="B32" s="263">
        <v>18</v>
      </c>
      <c r="C32" s="260" t="str">
        <f>'Student Details'!D30</f>
        <v>16EE023</v>
      </c>
      <c r="D32" s="244" t="str">
        <f>'Student Details'!E30</f>
        <v>JYOTHI S N</v>
      </c>
      <c r="E32">
        <v>4</v>
      </c>
      <c r="F32">
        <v>4</v>
      </c>
      <c r="G32">
        <v>10</v>
      </c>
      <c r="H32">
        <v>9</v>
      </c>
      <c r="I32">
        <v>1</v>
      </c>
      <c r="J32">
        <v>2</v>
      </c>
      <c r="K32"/>
      <c r="L32" s="58"/>
      <c r="M32" s="242">
        <v>18</v>
      </c>
      <c r="N32" s="278" t="str">
        <f>'Student Details'!D30</f>
        <v>16EE023</v>
      </c>
      <c r="O32" s="278" t="str">
        <f>'Student Details'!E30</f>
        <v>JYOTHI S N</v>
      </c>
      <c r="P32" s="243">
        <f t="shared" si="0"/>
        <v>14</v>
      </c>
      <c r="Q32" s="273">
        <f t="shared" si="1"/>
        <v>0.93333333333333335</v>
      </c>
      <c r="R32" s="264" t="str">
        <f t="shared" si="2"/>
        <v>Y</v>
      </c>
      <c r="S32" s="249">
        <f t="shared" si="3"/>
        <v>14</v>
      </c>
      <c r="T32" s="274">
        <f t="shared" si="4"/>
        <v>0.56000000000000005</v>
      </c>
      <c r="U32" s="264" t="str">
        <f t="shared" si="5"/>
        <v>N</v>
      </c>
      <c r="V32" s="249">
        <f t="shared" si="6"/>
        <v>2</v>
      </c>
      <c r="W32" s="274">
        <f t="shared" si="7"/>
        <v>0.33333333333333331</v>
      </c>
      <c r="X32" s="264" t="str">
        <f t="shared" si="8"/>
        <v>N</v>
      </c>
    </row>
    <row r="33" spans="2:24" s="64" customFormat="1" ht="20.100000000000001" customHeight="1">
      <c r="B33" s="263">
        <v>19</v>
      </c>
      <c r="C33" s="260" t="str">
        <f>'Student Details'!D31</f>
        <v xml:space="preserve"> 16EE025</v>
      </c>
      <c r="D33" s="244" t="str">
        <f>'Student Details'!E31</f>
        <v xml:space="preserve"> KAVANA S</v>
      </c>
      <c r="E33">
        <v>5</v>
      </c>
      <c r="F33">
        <v>3</v>
      </c>
      <c r="G33">
        <v>10</v>
      </c>
      <c r="H33">
        <v>8</v>
      </c>
      <c r="I33">
        <v>2</v>
      </c>
      <c r="J33">
        <v>5</v>
      </c>
      <c r="K33">
        <v>2</v>
      </c>
      <c r="L33" s="58"/>
      <c r="M33" s="242">
        <v>19</v>
      </c>
      <c r="N33" s="278" t="str">
        <f>'Student Details'!D31</f>
        <v xml:space="preserve"> 16EE025</v>
      </c>
      <c r="O33" s="278" t="str">
        <f>'Student Details'!E31</f>
        <v xml:space="preserve"> KAVANA S</v>
      </c>
      <c r="P33" s="243">
        <f t="shared" si="0"/>
        <v>15</v>
      </c>
      <c r="Q33" s="273">
        <f t="shared" si="1"/>
        <v>1</v>
      </c>
      <c r="R33" s="264" t="str">
        <f t="shared" si="2"/>
        <v>Y</v>
      </c>
      <c r="S33" s="249">
        <f t="shared" si="3"/>
        <v>13</v>
      </c>
      <c r="T33" s="274">
        <f t="shared" si="4"/>
        <v>0.52</v>
      </c>
      <c r="U33" s="264" t="str">
        <f t="shared" si="5"/>
        <v>N</v>
      </c>
      <c r="V33" s="249">
        <f t="shared" si="6"/>
        <v>7</v>
      </c>
      <c r="W33" s="274">
        <f t="shared" si="7"/>
        <v>0.7</v>
      </c>
      <c r="X33" s="264" t="str">
        <f t="shared" si="8"/>
        <v>Y</v>
      </c>
    </row>
    <row r="34" spans="2:24" s="64" customFormat="1" ht="20.100000000000001" customHeight="1">
      <c r="B34" s="263">
        <v>20</v>
      </c>
      <c r="C34" s="260" t="str">
        <f>'Student Details'!D32</f>
        <v xml:space="preserve"> 16EE027</v>
      </c>
      <c r="D34" s="244" t="str">
        <f>'Student Details'!E32</f>
        <v xml:space="preserve"> KUMAR RAGHAVENDRA G.B.</v>
      </c>
      <c r="E34">
        <v>4</v>
      </c>
      <c r="F34">
        <v>4</v>
      </c>
      <c r="G34">
        <v>10</v>
      </c>
      <c r="H34">
        <v>9</v>
      </c>
      <c r="I34">
        <v>9</v>
      </c>
      <c r="J34">
        <v>5</v>
      </c>
      <c r="K34">
        <v>4</v>
      </c>
      <c r="L34" s="58"/>
      <c r="M34" s="242">
        <v>20</v>
      </c>
      <c r="N34" s="278" t="str">
        <f>'Student Details'!D32</f>
        <v xml:space="preserve"> 16EE027</v>
      </c>
      <c r="O34" s="278" t="str">
        <f>'Student Details'!E32</f>
        <v xml:space="preserve"> KUMAR RAGHAVENDRA G.B.</v>
      </c>
      <c r="P34" s="243">
        <f t="shared" si="0"/>
        <v>14</v>
      </c>
      <c r="Q34" s="273">
        <f t="shared" si="1"/>
        <v>0.93333333333333335</v>
      </c>
      <c r="R34" s="264" t="str">
        <f t="shared" si="2"/>
        <v>Y</v>
      </c>
      <c r="S34" s="249">
        <f t="shared" si="3"/>
        <v>22</v>
      </c>
      <c r="T34" s="274">
        <f t="shared" si="4"/>
        <v>0.88</v>
      </c>
      <c r="U34" s="264" t="str">
        <f t="shared" si="5"/>
        <v>Y</v>
      </c>
      <c r="V34" s="249">
        <f t="shared" si="6"/>
        <v>9</v>
      </c>
      <c r="W34" s="274">
        <f t="shared" si="7"/>
        <v>0.9</v>
      </c>
      <c r="X34" s="264" t="str">
        <f t="shared" si="8"/>
        <v>Y</v>
      </c>
    </row>
    <row r="35" spans="2:24" s="64" customFormat="1" ht="20.100000000000001" customHeight="1">
      <c r="B35" s="263">
        <v>21</v>
      </c>
      <c r="C35" s="260" t="str">
        <f>'Student Details'!D33</f>
        <v xml:space="preserve"> 16EE028</v>
      </c>
      <c r="D35" s="244" t="str">
        <f>'Student Details'!E33</f>
        <v xml:space="preserve"> LAKSHMI R</v>
      </c>
      <c r="E35">
        <v>4</v>
      </c>
      <c r="F35">
        <v>3</v>
      </c>
      <c r="G35">
        <v>10</v>
      </c>
      <c r="H35">
        <v>2</v>
      </c>
      <c r="I35">
        <v>9</v>
      </c>
      <c r="J35"/>
      <c r="K35">
        <v>3</v>
      </c>
      <c r="L35" s="58"/>
      <c r="M35" s="242">
        <v>21</v>
      </c>
      <c r="N35" s="278" t="str">
        <f>'Student Details'!D33</f>
        <v xml:space="preserve"> 16EE028</v>
      </c>
      <c r="O35" s="278" t="str">
        <f>'Student Details'!E33</f>
        <v xml:space="preserve"> LAKSHMI R</v>
      </c>
      <c r="P35" s="243">
        <f t="shared" si="0"/>
        <v>14</v>
      </c>
      <c r="Q35" s="273">
        <f t="shared" si="1"/>
        <v>0.93333333333333335</v>
      </c>
      <c r="R35" s="264" t="str">
        <f t="shared" si="2"/>
        <v>Y</v>
      </c>
      <c r="S35" s="249">
        <f t="shared" si="3"/>
        <v>14</v>
      </c>
      <c r="T35" s="274">
        <f t="shared" si="4"/>
        <v>0.56000000000000005</v>
      </c>
      <c r="U35" s="264" t="str">
        <f t="shared" si="5"/>
        <v>N</v>
      </c>
      <c r="V35" s="249">
        <f t="shared" si="6"/>
        <v>3</v>
      </c>
      <c r="W35" s="274">
        <f t="shared" si="7"/>
        <v>0.75</v>
      </c>
      <c r="X35" s="264" t="str">
        <f t="shared" si="8"/>
        <v>Y</v>
      </c>
    </row>
    <row r="36" spans="2:24" s="64" customFormat="1" ht="20.100000000000001" customHeight="1">
      <c r="B36" s="263">
        <v>22</v>
      </c>
      <c r="C36" s="260" t="str">
        <f>'Student Details'!D34</f>
        <v xml:space="preserve"> 16EE031</v>
      </c>
      <c r="D36" s="244" t="str">
        <f>'Student Details'!E34</f>
        <v xml:space="preserve"> MANOJ T</v>
      </c>
      <c r="E36">
        <v>5</v>
      </c>
      <c r="F36">
        <v>4</v>
      </c>
      <c r="G36">
        <v>10</v>
      </c>
      <c r="H36">
        <v>9</v>
      </c>
      <c r="I36">
        <v>10</v>
      </c>
      <c r="J36">
        <v>5</v>
      </c>
      <c r="K36">
        <v>2</v>
      </c>
      <c r="L36" s="58"/>
      <c r="M36" s="242">
        <v>22</v>
      </c>
      <c r="N36" s="278" t="str">
        <f>'Student Details'!D34</f>
        <v xml:space="preserve"> 16EE031</v>
      </c>
      <c r="O36" s="278" t="str">
        <f>'Student Details'!E34</f>
        <v xml:space="preserve"> MANOJ T</v>
      </c>
      <c r="P36" s="243">
        <f t="shared" si="0"/>
        <v>15</v>
      </c>
      <c r="Q36" s="273">
        <f t="shared" si="1"/>
        <v>1</v>
      </c>
      <c r="R36" s="264" t="str">
        <f t="shared" si="2"/>
        <v>Y</v>
      </c>
      <c r="S36" s="249">
        <f t="shared" si="3"/>
        <v>23</v>
      </c>
      <c r="T36" s="274">
        <f t="shared" si="4"/>
        <v>0.92</v>
      </c>
      <c r="U36" s="264" t="str">
        <f t="shared" si="5"/>
        <v>Y</v>
      </c>
      <c r="V36" s="249">
        <f t="shared" si="6"/>
        <v>7</v>
      </c>
      <c r="W36" s="274">
        <f t="shared" si="7"/>
        <v>0.7</v>
      </c>
      <c r="X36" s="264" t="str">
        <f t="shared" si="8"/>
        <v>Y</v>
      </c>
    </row>
    <row r="37" spans="2:24" s="64" customFormat="1" ht="20.100000000000001" customHeight="1">
      <c r="B37" s="263">
        <v>23</v>
      </c>
      <c r="C37" s="260" t="str">
        <f>'Student Details'!D35</f>
        <v xml:space="preserve"> 16EE032</v>
      </c>
      <c r="D37" s="244" t="str">
        <f>'Student Details'!E35</f>
        <v xml:space="preserve"> MD SARJIL ANSARI</v>
      </c>
      <c r="E37">
        <v>5</v>
      </c>
      <c r="F37">
        <v>4</v>
      </c>
      <c r="G37">
        <v>10</v>
      </c>
      <c r="H37">
        <v>9</v>
      </c>
      <c r="I37">
        <v>9</v>
      </c>
      <c r="J37">
        <v>6</v>
      </c>
      <c r="K37">
        <v>2</v>
      </c>
      <c r="L37" s="58"/>
      <c r="M37" s="242">
        <v>23</v>
      </c>
      <c r="N37" s="278" t="str">
        <f>'Student Details'!D35</f>
        <v xml:space="preserve"> 16EE032</v>
      </c>
      <c r="O37" s="278" t="str">
        <f>'Student Details'!E35</f>
        <v xml:space="preserve"> MD SARJIL ANSARI</v>
      </c>
      <c r="P37" s="243">
        <f t="shared" si="0"/>
        <v>15</v>
      </c>
      <c r="Q37" s="273">
        <f t="shared" si="1"/>
        <v>1</v>
      </c>
      <c r="R37" s="264" t="str">
        <f t="shared" si="2"/>
        <v>Y</v>
      </c>
      <c r="S37" s="249">
        <f t="shared" si="3"/>
        <v>22</v>
      </c>
      <c r="T37" s="274">
        <f t="shared" si="4"/>
        <v>0.88</v>
      </c>
      <c r="U37" s="264" t="str">
        <f t="shared" si="5"/>
        <v>Y</v>
      </c>
      <c r="V37" s="249">
        <f t="shared" si="6"/>
        <v>8</v>
      </c>
      <c r="W37" s="274">
        <f t="shared" si="7"/>
        <v>0.8</v>
      </c>
      <c r="X37" s="264" t="str">
        <f t="shared" si="8"/>
        <v>Y</v>
      </c>
    </row>
    <row r="38" spans="2:24" s="64" customFormat="1" ht="20.100000000000001" customHeight="1">
      <c r="B38" s="263">
        <v>24</v>
      </c>
      <c r="C38" s="260" t="str">
        <f>'Student Details'!D36</f>
        <v xml:space="preserve"> 16EE034</v>
      </c>
      <c r="D38" s="244" t="str">
        <f>'Student Details'!E36</f>
        <v xml:space="preserve"> MITHILA A R THOTADA</v>
      </c>
      <c r="E38">
        <v>3</v>
      </c>
      <c r="F38"/>
      <c r="G38">
        <v>8</v>
      </c>
      <c r="H38">
        <v>6</v>
      </c>
      <c r="I38">
        <v>7</v>
      </c>
      <c r="J38">
        <v>1</v>
      </c>
      <c r="K38">
        <v>4</v>
      </c>
      <c r="L38" s="58"/>
      <c r="M38" s="242">
        <v>24</v>
      </c>
      <c r="N38" s="278" t="str">
        <f>'Student Details'!D36</f>
        <v xml:space="preserve"> 16EE034</v>
      </c>
      <c r="O38" s="278" t="str">
        <f>'Student Details'!E36</f>
        <v xml:space="preserve"> MITHILA A R THOTADA</v>
      </c>
      <c r="P38" s="243">
        <f t="shared" si="0"/>
        <v>11</v>
      </c>
      <c r="Q38" s="273">
        <f t="shared" si="1"/>
        <v>0.73333333333333328</v>
      </c>
      <c r="R38" s="264" t="str">
        <f t="shared" si="2"/>
        <v>Y</v>
      </c>
      <c r="S38" s="249">
        <f t="shared" si="3"/>
        <v>13</v>
      </c>
      <c r="T38" s="274">
        <f t="shared" si="4"/>
        <v>0.65</v>
      </c>
      <c r="U38" s="264" t="str">
        <f t="shared" si="5"/>
        <v>Y</v>
      </c>
      <c r="V38" s="249">
        <f t="shared" si="6"/>
        <v>5</v>
      </c>
      <c r="W38" s="274">
        <f t="shared" si="7"/>
        <v>0.5</v>
      </c>
      <c r="X38" s="264" t="str">
        <f t="shared" si="8"/>
        <v>N</v>
      </c>
    </row>
    <row r="39" spans="2:24" s="64" customFormat="1" ht="20.100000000000001" customHeight="1">
      <c r="B39" s="263">
        <v>25</v>
      </c>
      <c r="C39" s="260" t="str">
        <f>'Student Details'!D37</f>
        <v xml:space="preserve"> 16EE035</v>
      </c>
      <c r="D39" s="244" t="str">
        <f>'Student Details'!E37</f>
        <v xml:space="preserve"> MOUNA K.M</v>
      </c>
      <c r="E39">
        <v>4</v>
      </c>
      <c r="F39">
        <v>4</v>
      </c>
      <c r="G39">
        <v>9</v>
      </c>
      <c r="H39">
        <v>7</v>
      </c>
      <c r="I39">
        <v>5</v>
      </c>
      <c r="J39">
        <v>5</v>
      </c>
      <c r="K39">
        <v>2</v>
      </c>
      <c r="L39" s="58"/>
      <c r="M39" s="242">
        <v>25</v>
      </c>
      <c r="N39" s="278" t="str">
        <f>'Student Details'!D37</f>
        <v xml:space="preserve"> 16EE035</v>
      </c>
      <c r="O39" s="278" t="str">
        <f>'Student Details'!E37</f>
        <v xml:space="preserve"> MOUNA K.M</v>
      </c>
      <c r="P39" s="243">
        <f t="shared" si="0"/>
        <v>13</v>
      </c>
      <c r="Q39" s="273">
        <f t="shared" si="1"/>
        <v>0.8666666666666667</v>
      </c>
      <c r="R39" s="264" t="str">
        <f t="shared" si="2"/>
        <v>Y</v>
      </c>
      <c r="S39" s="249">
        <f t="shared" si="3"/>
        <v>16</v>
      </c>
      <c r="T39" s="274">
        <f t="shared" si="4"/>
        <v>0.64</v>
      </c>
      <c r="U39" s="264" t="str">
        <f t="shared" si="5"/>
        <v>Y</v>
      </c>
      <c r="V39" s="249">
        <f t="shared" si="6"/>
        <v>7</v>
      </c>
      <c r="W39" s="274">
        <f t="shared" si="7"/>
        <v>0.7</v>
      </c>
      <c r="X39" s="264" t="str">
        <f t="shared" si="8"/>
        <v>Y</v>
      </c>
    </row>
    <row r="40" spans="2:24" s="64" customFormat="1" ht="20.100000000000001" customHeight="1">
      <c r="B40" s="263">
        <v>26</v>
      </c>
      <c r="C40" s="260" t="str">
        <f>'Student Details'!D38</f>
        <v xml:space="preserve"> 16EE036</v>
      </c>
      <c r="D40" s="244" t="str">
        <f>'Student Details'!E38</f>
        <v xml:space="preserve"> NARASIMHANAYAKA D</v>
      </c>
      <c r="E40">
        <v>5</v>
      </c>
      <c r="F40">
        <v>4</v>
      </c>
      <c r="G40">
        <v>6</v>
      </c>
      <c r="H40">
        <v>7</v>
      </c>
      <c r="I40">
        <v>5</v>
      </c>
      <c r="J40">
        <v>6</v>
      </c>
      <c r="K40">
        <v>4</v>
      </c>
      <c r="L40" s="58"/>
      <c r="M40" s="242">
        <v>26</v>
      </c>
      <c r="N40" s="278" t="str">
        <f>'Student Details'!D38</f>
        <v xml:space="preserve"> 16EE036</v>
      </c>
      <c r="O40" s="278" t="str">
        <f>'Student Details'!E38</f>
        <v xml:space="preserve"> NARASIMHANAYAKA D</v>
      </c>
      <c r="P40" s="243">
        <f t="shared" si="0"/>
        <v>11</v>
      </c>
      <c r="Q40" s="273">
        <f t="shared" si="1"/>
        <v>0.73333333333333328</v>
      </c>
      <c r="R40" s="264" t="str">
        <f t="shared" si="2"/>
        <v>Y</v>
      </c>
      <c r="S40" s="249">
        <f t="shared" si="3"/>
        <v>16</v>
      </c>
      <c r="T40" s="274">
        <f t="shared" si="4"/>
        <v>0.64</v>
      </c>
      <c r="U40" s="264" t="str">
        <f t="shared" si="5"/>
        <v>Y</v>
      </c>
      <c r="V40" s="249">
        <f t="shared" si="6"/>
        <v>10</v>
      </c>
      <c r="W40" s="274">
        <f t="shared" si="7"/>
        <v>1</v>
      </c>
      <c r="X40" s="264" t="str">
        <f t="shared" si="8"/>
        <v>Y</v>
      </c>
    </row>
    <row r="41" spans="2:24" s="64" customFormat="1" ht="20.100000000000001" customHeight="1">
      <c r="B41" s="263">
        <v>27</v>
      </c>
      <c r="C41" s="260" t="str">
        <f>'Student Details'!D39</f>
        <v xml:space="preserve"> 16EE037</v>
      </c>
      <c r="D41" s="244" t="str">
        <f>'Student Details'!E39</f>
        <v xml:space="preserve"> NIKHIL H M</v>
      </c>
      <c r="E41">
        <v>4</v>
      </c>
      <c r="F41">
        <v>4</v>
      </c>
      <c r="G41">
        <v>8</v>
      </c>
      <c r="H41">
        <v>5</v>
      </c>
      <c r="I41">
        <v>6</v>
      </c>
      <c r="J41">
        <v>5</v>
      </c>
      <c r="K41">
        <v>2</v>
      </c>
      <c r="L41" s="58"/>
      <c r="M41" s="242">
        <v>27</v>
      </c>
      <c r="N41" s="278" t="str">
        <f>'Student Details'!D39</f>
        <v xml:space="preserve"> 16EE037</v>
      </c>
      <c r="O41" s="278" t="str">
        <f>'Student Details'!E39</f>
        <v xml:space="preserve"> NIKHIL H M</v>
      </c>
      <c r="P41" s="243">
        <f t="shared" si="0"/>
        <v>12</v>
      </c>
      <c r="Q41" s="273">
        <f t="shared" si="1"/>
        <v>0.8</v>
      </c>
      <c r="R41" s="264" t="str">
        <f t="shared" si="2"/>
        <v>Y</v>
      </c>
      <c r="S41" s="249">
        <f t="shared" si="3"/>
        <v>15</v>
      </c>
      <c r="T41" s="274">
        <f t="shared" si="4"/>
        <v>0.6</v>
      </c>
      <c r="U41" s="264" t="str">
        <f t="shared" si="5"/>
        <v>Y</v>
      </c>
      <c r="V41" s="249">
        <f t="shared" si="6"/>
        <v>7</v>
      </c>
      <c r="W41" s="274">
        <f t="shared" si="7"/>
        <v>0.7</v>
      </c>
      <c r="X41" s="264" t="str">
        <f t="shared" si="8"/>
        <v>Y</v>
      </c>
    </row>
    <row r="42" spans="2:24" s="64" customFormat="1" ht="20.100000000000001" customHeight="1">
      <c r="B42" s="263">
        <v>28</v>
      </c>
      <c r="C42" s="260" t="str">
        <f>'Student Details'!D40</f>
        <v xml:space="preserve"> 16EE038</v>
      </c>
      <c r="D42" s="244" t="str">
        <f>'Student Details'!E40</f>
        <v xml:space="preserve"> NITHIN N GUJJAR</v>
      </c>
      <c r="E42">
        <v>4</v>
      </c>
      <c r="F42">
        <v>4</v>
      </c>
      <c r="G42">
        <v>6</v>
      </c>
      <c r="H42"/>
      <c r="I42"/>
      <c r="J42"/>
      <c r="K42"/>
      <c r="L42" s="58"/>
      <c r="M42" s="242">
        <v>28</v>
      </c>
      <c r="N42" s="278" t="str">
        <f>'Student Details'!D40</f>
        <v xml:space="preserve"> 16EE038</v>
      </c>
      <c r="O42" s="278" t="str">
        <f>'Student Details'!E40</f>
        <v xml:space="preserve"> NITHIN N GUJJAR</v>
      </c>
      <c r="P42" s="243">
        <f t="shared" si="0"/>
        <v>10</v>
      </c>
      <c r="Q42" s="273">
        <f t="shared" si="1"/>
        <v>0.66666666666666663</v>
      </c>
      <c r="R42" s="264" t="str">
        <f t="shared" si="2"/>
        <v>Y</v>
      </c>
      <c r="S42" s="249">
        <f t="shared" si="3"/>
        <v>4</v>
      </c>
      <c r="T42" s="274">
        <f t="shared" si="4"/>
        <v>0.8</v>
      </c>
      <c r="U42" s="264" t="str">
        <f t="shared" si="5"/>
        <v>Y</v>
      </c>
      <c r="V42" s="249" t="str">
        <f t="shared" si="6"/>
        <v>NA</v>
      </c>
      <c r="W42" s="274" t="str">
        <f t="shared" si="7"/>
        <v>NA</v>
      </c>
      <c r="X42" s="264" t="str">
        <f t="shared" si="8"/>
        <v>NA</v>
      </c>
    </row>
    <row r="43" spans="2:24" s="64" customFormat="1" ht="20.100000000000001" customHeight="1">
      <c r="B43" s="263">
        <v>29</v>
      </c>
      <c r="C43" s="260" t="str">
        <f>'Student Details'!D41</f>
        <v xml:space="preserve"> 16EE039</v>
      </c>
      <c r="D43" s="244" t="str">
        <f>'Student Details'!E41</f>
        <v xml:space="preserve"> NITHIN GOWDA B N</v>
      </c>
      <c r="E43">
        <v>1</v>
      </c>
      <c r="F43">
        <v>4</v>
      </c>
      <c r="G43">
        <v>10</v>
      </c>
      <c r="H43">
        <v>4</v>
      </c>
      <c r="I43"/>
      <c r="J43">
        <v>2</v>
      </c>
      <c r="K43">
        <v>1</v>
      </c>
      <c r="L43" s="58"/>
      <c r="M43" s="242">
        <v>29</v>
      </c>
      <c r="N43" s="278" t="str">
        <f>'Student Details'!D41</f>
        <v xml:space="preserve"> 16EE039</v>
      </c>
      <c r="O43" s="278" t="str">
        <f>'Student Details'!E41</f>
        <v xml:space="preserve"> NITHIN GOWDA B N</v>
      </c>
      <c r="P43" s="243">
        <f t="shared" si="0"/>
        <v>11</v>
      </c>
      <c r="Q43" s="273">
        <f t="shared" si="1"/>
        <v>0.73333333333333328</v>
      </c>
      <c r="R43" s="264" t="str">
        <f t="shared" si="2"/>
        <v>Y</v>
      </c>
      <c r="S43" s="249">
        <f t="shared" si="3"/>
        <v>8</v>
      </c>
      <c r="T43" s="274">
        <f t="shared" si="4"/>
        <v>0.53333333333333333</v>
      </c>
      <c r="U43" s="264" t="str">
        <f t="shared" si="5"/>
        <v>N</v>
      </c>
      <c r="V43" s="249">
        <f t="shared" si="6"/>
        <v>3</v>
      </c>
      <c r="W43" s="274">
        <f t="shared" si="7"/>
        <v>0.3</v>
      </c>
      <c r="X43" s="264" t="str">
        <f t="shared" si="8"/>
        <v>N</v>
      </c>
    </row>
    <row r="44" spans="2:24" s="64" customFormat="1" ht="20.100000000000001" customHeight="1">
      <c r="B44" s="263">
        <v>30</v>
      </c>
      <c r="C44" s="260" t="str">
        <f>'Student Details'!D42</f>
        <v xml:space="preserve"> 16EE042</v>
      </c>
      <c r="D44" s="244" t="str">
        <f>'Student Details'!E42</f>
        <v xml:space="preserve"> RAKSHITHA T U</v>
      </c>
      <c r="E44">
        <v>4</v>
      </c>
      <c r="F44">
        <v>4</v>
      </c>
      <c r="G44">
        <v>10</v>
      </c>
      <c r="H44">
        <v>2</v>
      </c>
      <c r="I44">
        <v>1</v>
      </c>
      <c r="J44">
        <v>5</v>
      </c>
      <c r="K44">
        <v>4</v>
      </c>
      <c r="L44" s="58"/>
      <c r="M44" s="242">
        <v>30</v>
      </c>
      <c r="N44" s="278" t="str">
        <f>'Student Details'!D42</f>
        <v xml:space="preserve"> 16EE042</v>
      </c>
      <c r="O44" s="278" t="str">
        <f>'Student Details'!E42</f>
        <v xml:space="preserve"> RAKSHITHA T U</v>
      </c>
      <c r="P44" s="243">
        <f t="shared" si="0"/>
        <v>14</v>
      </c>
      <c r="Q44" s="273">
        <f t="shared" si="1"/>
        <v>0.93333333333333335</v>
      </c>
      <c r="R44" s="264" t="str">
        <f t="shared" si="2"/>
        <v>Y</v>
      </c>
      <c r="S44" s="249">
        <f t="shared" si="3"/>
        <v>7</v>
      </c>
      <c r="T44" s="274">
        <f t="shared" si="4"/>
        <v>0.28000000000000003</v>
      </c>
      <c r="U44" s="264" t="str">
        <f t="shared" si="5"/>
        <v>N</v>
      </c>
      <c r="V44" s="249">
        <f t="shared" si="6"/>
        <v>9</v>
      </c>
      <c r="W44" s="274">
        <f t="shared" si="7"/>
        <v>0.9</v>
      </c>
      <c r="X44" s="264" t="str">
        <f t="shared" si="8"/>
        <v>Y</v>
      </c>
    </row>
    <row r="45" spans="2:24" s="64" customFormat="1" ht="20.100000000000001" customHeight="1">
      <c r="B45" s="263">
        <v>31</v>
      </c>
      <c r="C45" s="260" t="str">
        <f>'Student Details'!D43</f>
        <v xml:space="preserve"> 16EE043</v>
      </c>
      <c r="D45" s="244" t="str">
        <f>'Student Details'!E43</f>
        <v xml:space="preserve"> RAMKUMAR K M</v>
      </c>
      <c r="E45">
        <v>3</v>
      </c>
      <c r="F45">
        <v>4</v>
      </c>
      <c r="G45">
        <v>8</v>
      </c>
      <c r="H45">
        <v>5</v>
      </c>
      <c r="I45"/>
      <c r="J45">
        <v>1</v>
      </c>
      <c r="K45">
        <v>1</v>
      </c>
      <c r="L45" s="58"/>
      <c r="M45" s="242">
        <v>31</v>
      </c>
      <c r="N45" s="278" t="str">
        <f>'Student Details'!D43</f>
        <v xml:space="preserve"> 16EE043</v>
      </c>
      <c r="O45" s="278" t="str">
        <f>'Student Details'!E43</f>
        <v xml:space="preserve"> RAMKUMAR K M</v>
      </c>
      <c r="P45" s="243">
        <f t="shared" si="0"/>
        <v>11</v>
      </c>
      <c r="Q45" s="273">
        <f t="shared" si="1"/>
        <v>0.73333333333333328</v>
      </c>
      <c r="R45" s="264" t="str">
        <f t="shared" si="2"/>
        <v>Y</v>
      </c>
      <c r="S45" s="249">
        <f t="shared" si="3"/>
        <v>9</v>
      </c>
      <c r="T45" s="274">
        <f t="shared" si="4"/>
        <v>0.6</v>
      </c>
      <c r="U45" s="264" t="str">
        <f t="shared" si="5"/>
        <v>Y</v>
      </c>
      <c r="V45" s="249">
        <f t="shared" si="6"/>
        <v>2</v>
      </c>
      <c r="W45" s="274">
        <f t="shared" si="7"/>
        <v>0.2</v>
      </c>
      <c r="X45" s="264" t="str">
        <f t="shared" si="8"/>
        <v>N</v>
      </c>
    </row>
    <row r="46" spans="2:24" s="64" customFormat="1" ht="20.100000000000001" customHeight="1">
      <c r="B46" s="263">
        <v>32</v>
      </c>
      <c r="C46" s="260" t="str">
        <f>'Student Details'!D44</f>
        <v xml:space="preserve"> 16EE045</v>
      </c>
      <c r="D46" s="244" t="str">
        <f>'Student Details'!E44</f>
        <v xml:space="preserve"> RENUKA K</v>
      </c>
      <c r="E46">
        <v>5</v>
      </c>
      <c r="F46">
        <v>4</v>
      </c>
      <c r="G46">
        <v>8</v>
      </c>
      <c r="H46">
        <v>9</v>
      </c>
      <c r="I46">
        <v>6</v>
      </c>
      <c r="J46">
        <v>5</v>
      </c>
      <c r="K46">
        <v>2</v>
      </c>
      <c r="L46" s="58"/>
      <c r="M46" s="242">
        <v>32</v>
      </c>
      <c r="N46" s="278" t="str">
        <f>'Student Details'!D44</f>
        <v xml:space="preserve"> 16EE045</v>
      </c>
      <c r="O46" s="278" t="str">
        <f>'Student Details'!E44</f>
        <v xml:space="preserve"> RENUKA K</v>
      </c>
      <c r="P46" s="243">
        <f t="shared" si="0"/>
        <v>13</v>
      </c>
      <c r="Q46" s="273">
        <f t="shared" si="1"/>
        <v>0.8666666666666667</v>
      </c>
      <c r="R46" s="264" t="str">
        <f t="shared" si="2"/>
        <v>Y</v>
      </c>
      <c r="S46" s="249">
        <f t="shared" si="3"/>
        <v>19</v>
      </c>
      <c r="T46" s="274">
        <f t="shared" si="4"/>
        <v>0.76</v>
      </c>
      <c r="U46" s="264" t="str">
        <f t="shared" si="5"/>
        <v>Y</v>
      </c>
      <c r="V46" s="249">
        <f t="shared" si="6"/>
        <v>7</v>
      </c>
      <c r="W46" s="274">
        <f t="shared" si="7"/>
        <v>0.7</v>
      </c>
      <c r="X46" s="264" t="str">
        <f t="shared" si="8"/>
        <v>Y</v>
      </c>
    </row>
    <row r="47" spans="2:24" s="64" customFormat="1" ht="20.100000000000001" customHeight="1">
      <c r="B47" s="263">
        <v>33</v>
      </c>
      <c r="C47" s="260" t="str">
        <f>'Student Details'!D45</f>
        <v xml:space="preserve"> 16EE046</v>
      </c>
      <c r="D47" s="244" t="str">
        <f>'Student Details'!E45</f>
        <v xml:space="preserve"> RESHMA</v>
      </c>
      <c r="E47">
        <v>4</v>
      </c>
      <c r="F47">
        <v>4</v>
      </c>
      <c r="G47">
        <v>8</v>
      </c>
      <c r="H47">
        <v>8</v>
      </c>
      <c r="I47">
        <v>9</v>
      </c>
      <c r="J47"/>
      <c r="K47">
        <v>2</v>
      </c>
      <c r="L47" s="58"/>
      <c r="M47" s="242">
        <v>33</v>
      </c>
      <c r="N47" s="278" t="str">
        <f>'Student Details'!D45</f>
        <v xml:space="preserve"> 16EE046</v>
      </c>
      <c r="O47" s="278" t="str">
        <f>'Student Details'!E45</f>
        <v xml:space="preserve"> RESHMA</v>
      </c>
      <c r="P47" s="243">
        <f t="shared" ref="P47:P75" si="9">IF(SUM(E47,G47)=0,"NA",SUM(E47,G47))</f>
        <v>12</v>
      </c>
      <c r="Q47" s="273">
        <f t="shared" ref="Q47:Q75" si="10">IF(P47="NA","NA",IF(P47/(SUM(IF(E47&gt;0,$E$14,0),IF(G47&gt;0,$G$14,0)))=0,"",P47/(SUM(IF(E47&gt;0,$E$14,0),IF(G47&gt;0,$G$14,0)))))</f>
        <v>0.8</v>
      </c>
      <c r="R47" s="264" t="str">
        <f t="shared" ref="R47:R75" si="11">IF(Q47="NA","NA",IF(Q47="","",IF(Q47&gt;=$R$14,"Y","N")))</f>
        <v>Y</v>
      </c>
      <c r="S47" s="249">
        <f t="shared" ref="S47:S75" si="12">IF(SUM(F47,H47,I47)=0,"NA",SUM(F47,H47,I47))</f>
        <v>21</v>
      </c>
      <c r="T47" s="274">
        <f t="shared" ref="T47:T75" si="13">IF(S47="NA","NA",IF(S47/(SUM(IF(F47&gt;0,$F$14,0),IF(H47&gt;0,$H$14,0),IF(I47&gt;0,$I$14,0)))=0,"",S47/(SUM(IF(F47&gt;0,$F$14,0),IF(H47&gt;0,$H$14,0),IF(I47&gt;0,$I$14,0)))))</f>
        <v>0.84</v>
      </c>
      <c r="U47" s="264" t="str">
        <f t="shared" ref="U47:U75" si="14">IF(T47="NA","NA",IF(T47="","",IF(T47&gt;=$U$14,"Y","N")))</f>
        <v>Y</v>
      </c>
      <c r="V47" s="249">
        <f t="shared" ref="V47:V75" si="15">IF(SUM(J47,K47)=0,"NA",SUM(J47,K47))</f>
        <v>2</v>
      </c>
      <c r="W47" s="274">
        <f t="shared" ref="W47:W75" si="16">IF(V47="NA","NA",IF(V47/(SUM(IF(J47&gt;0,$J$14,0),IF(K47&gt;0,$K$14,0)))=0,"",V47/(SUM(IF(J47&gt;0,$J$14,0),IF(K47&gt;0,$K$14,0)))))</f>
        <v>0.5</v>
      </c>
      <c r="X47" s="264" t="str">
        <f t="shared" ref="X47:X75" si="17">IF(W47="NA","NA",IF(W47="","",IF(W47&gt;=$X$14,"Y","N")))</f>
        <v>N</v>
      </c>
    </row>
    <row r="48" spans="2:24" s="64" customFormat="1" ht="20.100000000000001" customHeight="1">
      <c r="B48" s="263">
        <v>34</v>
      </c>
      <c r="C48" s="260" t="str">
        <f>'Student Details'!D46</f>
        <v xml:space="preserve"> 16EE047</v>
      </c>
      <c r="D48" s="244" t="str">
        <f>'Student Details'!E46</f>
        <v xml:space="preserve"> SAHINABEGAUM NADAF</v>
      </c>
      <c r="E48">
        <v>4</v>
      </c>
      <c r="F48">
        <v>4</v>
      </c>
      <c r="G48">
        <v>10</v>
      </c>
      <c r="H48">
        <v>9</v>
      </c>
      <c r="I48">
        <v>5</v>
      </c>
      <c r="J48">
        <v>5</v>
      </c>
      <c r="K48">
        <v>0</v>
      </c>
      <c r="L48" s="58"/>
      <c r="M48" s="242">
        <v>34</v>
      </c>
      <c r="N48" s="278" t="str">
        <f>'Student Details'!D46</f>
        <v xml:space="preserve"> 16EE047</v>
      </c>
      <c r="O48" s="278" t="str">
        <f>'Student Details'!E46</f>
        <v xml:space="preserve"> SAHINABEGAUM NADAF</v>
      </c>
      <c r="P48" s="243">
        <f t="shared" si="9"/>
        <v>14</v>
      </c>
      <c r="Q48" s="273">
        <f t="shared" si="10"/>
        <v>0.93333333333333335</v>
      </c>
      <c r="R48" s="264" t="str">
        <f t="shared" si="11"/>
        <v>Y</v>
      </c>
      <c r="S48" s="249">
        <f t="shared" si="12"/>
        <v>18</v>
      </c>
      <c r="T48" s="274">
        <f t="shared" si="13"/>
        <v>0.72</v>
      </c>
      <c r="U48" s="264" t="str">
        <f t="shared" si="14"/>
        <v>Y</v>
      </c>
      <c r="V48" s="249">
        <f t="shared" si="15"/>
        <v>5</v>
      </c>
      <c r="W48" s="274">
        <f t="shared" si="16"/>
        <v>0.83333333333333337</v>
      </c>
      <c r="X48" s="264" t="str">
        <f t="shared" si="17"/>
        <v>Y</v>
      </c>
    </row>
    <row r="49" spans="2:24" s="64" customFormat="1" ht="20.100000000000001" customHeight="1">
      <c r="B49" s="263">
        <v>35</v>
      </c>
      <c r="C49" s="260" t="str">
        <f>'Student Details'!D47</f>
        <v xml:space="preserve"> 16EE048</v>
      </c>
      <c r="D49" s="244" t="str">
        <f>'Student Details'!E47</f>
        <v xml:space="preserve"> SANDEEP KUMAR MURMU</v>
      </c>
      <c r="E49">
        <v>4</v>
      </c>
      <c r="F49">
        <v>4</v>
      </c>
      <c r="G49">
        <v>10</v>
      </c>
      <c r="H49">
        <v>7</v>
      </c>
      <c r="I49">
        <v>7</v>
      </c>
      <c r="J49">
        <v>3</v>
      </c>
      <c r="K49">
        <v>2</v>
      </c>
      <c r="L49" s="58"/>
      <c r="M49" s="242">
        <v>35</v>
      </c>
      <c r="N49" s="278" t="str">
        <f>'Student Details'!D47</f>
        <v xml:space="preserve"> 16EE048</v>
      </c>
      <c r="O49" s="278" t="str">
        <f>'Student Details'!E47</f>
        <v xml:space="preserve"> SANDEEP KUMAR MURMU</v>
      </c>
      <c r="P49" s="243">
        <f t="shared" si="9"/>
        <v>14</v>
      </c>
      <c r="Q49" s="273">
        <f t="shared" si="10"/>
        <v>0.93333333333333335</v>
      </c>
      <c r="R49" s="264" t="str">
        <f t="shared" si="11"/>
        <v>Y</v>
      </c>
      <c r="S49" s="249">
        <f t="shared" si="12"/>
        <v>18</v>
      </c>
      <c r="T49" s="274">
        <f t="shared" si="13"/>
        <v>0.72</v>
      </c>
      <c r="U49" s="264" t="str">
        <f t="shared" si="14"/>
        <v>Y</v>
      </c>
      <c r="V49" s="249">
        <f t="shared" si="15"/>
        <v>5</v>
      </c>
      <c r="W49" s="274">
        <f t="shared" si="16"/>
        <v>0.5</v>
      </c>
      <c r="X49" s="264" t="str">
        <f t="shared" si="17"/>
        <v>N</v>
      </c>
    </row>
    <row r="50" spans="2:24" s="64" customFormat="1" ht="20.100000000000001" customHeight="1">
      <c r="B50" s="263">
        <v>36</v>
      </c>
      <c r="C50" s="260" t="str">
        <f>'Student Details'!D48</f>
        <v xml:space="preserve"> 16EE049</v>
      </c>
      <c r="D50" s="244" t="str">
        <f>'Student Details'!E48</f>
        <v xml:space="preserve"> SHARIKA</v>
      </c>
      <c r="E50">
        <v>4</v>
      </c>
      <c r="F50">
        <v>4</v>
      </c>
      <c r="G50">
        <v>10</v>
      </c>
      <c r="H50">
        <v>5</v>
      </c>
      <c r="I50">
        <v>2</v>
      </c>
      <c r="J50">
        <v>4</v>
      </c>
      <c r="K50">
        <v>3</v>
      </c>
      <c r="L50" s="58"/>
      <c r="M50" s="242">
        <v>36</v>
      </c>
      <c r="N50" s="278" t="str">
        <f>'Student Details'!D48</f>
        <v xml:space="preserve"> 16EE049</v>
      </c>
      <c r="O50" s="278" t="str">
        <f>'Student Details'!E48</f>
        <v xml:space="preserve"> SHARIKA</v>
      </c>
      <c r="P50" s="243">
        <f t="shared" si="9"/>
        <v>14</v>
      </c>
      <c r="Q50" s="273">
        <f t="shared" si="10"/>
        <v>0.93333333333333335</v>
      </c>
      <c r="R50" s="264" t="str">
        <f t="shared" si="11"/>
        <v>Y</v>
      </c>
      <c r="S50" s="249">
        <f t="shared" si="12"/>
        <v>11</v>
      </c>
      <c r="T50" s="274">
        <f t="shared" si="13"/>
        <v>0.44</v>
      </c>
      <c r="U50" s="264" t="str">
        <f t="shared" si="14"/>
        <v>N</v>
      </c>
      <c r="V50" s="249">
        <f t="shared" si="15"/>
        <v>7</v>
      </c>
      <c r="W50" s="274">
        <f t="shared" si="16"/>
        <v>0.7</v>
      </c>
      <c r="X50" s="264" t="str">
        <f t="shared" si="17"/>
        <v>Y</v>
      </c>
    </row>
    <row r="51" spans="2:24" s="64" customFormat="1" ht="20.100000000000001" customHeight="1">
      <c r="B51" s="263">
        <v>37</v>
      </c>
      <c r="C51" s="260" t="str">
        <f>'Student Details'!D49</f>
        <v xml:space="preserve"> 16EE050</v>
      </c>
      <c r="D51" s="244" t="str">
        <f>'Student Details'!E49</f>
        <v xml:space="preserve"> SHWETHA R JAGADALE</v>
      </c>
      <c r="E51">
        <v>4</v>
      </c>
      <c r="F51">
        <v>4</v>
      </c>
      <c r="G51">
        <v>10</v>
      </c>
      <c r="H51">
        <v>8</v>
      </c>
      <c r="I51">
        <v>1</v>
      </c>
      <c r="J51">
        <v>5</v>
      </c>
      <c r="K51">
        <v>2</v>
      </c>
      <c r="L51" s="58"/>
      <c r="M51" s="242">
        <v>37</v>
      </c>
      <c r="N51" s="278" t="str">
        <f>'Student Details'!D49</f>
        <v xml:space="preserve"> 16EE050</v>
      </c>
      <c r="O51" s="278" t="str">
        <f>'Student Details'!E49</f>
        <v xml:space="preserve"> SHWETHA R JAGADALE</v>
      </c>
      <c r="P51" s="243">
        <f t="shared" si="9"/>
        <v>14</v>
      </c>
      <c r="Q51" s="273">
        <f t="shared" si="10"/>
        <v>0.93333333333333335</v>
      </c>
      <c r="R51" s="264" t="str">
        <f t="shared" si="11"/>
        <v>Y</v>
      </c>
      <c r="S51" s="249">
        <f t="shared" si="12"/>
        <v>13</v>
      </c>
      <c r="T51" s="274">
        <f t="shared" si="13"/>
        <v>0.52</v>
      </c>
      <c r="U51" s="264" t="str">
        <f t="shared" si="14"/>
        <v>N</v>
      </c>
      <c r="V51" s="249">
        <f t="shared" si="15"/>
        <v>7</v>
      </c>
      <c r="W51" s="274">
        <f t="shared" si="16"/>
        <v>0.7</v>
      </c>
      <c r="X51" s="264" t="str">
        <f t="shared" si="17"/>
        <v>Y</v>
      </c>
    </row>
    <row r="52" spans="2:24" s="64" customFormat="1" ht="20.100000000000001" customHeight="1">
      <c r="B52" s="263">
        <v>38</v>
      </c>
      <c r="C52" s="260" t="str">
        <f>'Student Details'!D50</f>
        <v xml:space="preserve"> 16EE051</v>
      </c>
      <c r="D52" s="244" t="str">
        <f>'Student Details'!E50</f>
        <v xml:space="preserve"> SUCHITRA</v>
      </c>
      <c r="E52">
        <v>2</v>
      </c>
      <c r="F52">
        <v>1</v>
      </c>
      <c r="G52">
        <v>2</v>
      </c>
      <c r="H52">
        <v>4</v>
      </c>
      <c r="I52"/>
      <c r="J52">
        <v>5</v>
      </c>
      <c r="K52">
        <v>1</v>
      </c>
      <c r="L52" s="58"/>
      <c r="M52" s="242">
        <v>38</v>
      </c>
      <c r="N52" s="278" t="str">
        <f>'Student Details'!D50</f>
        <v xml:space="preserve"> 16EE051</v>
      </c>
      <c r="O52" s="278" t="str">
        <f>'Student Details'!E50</f>
        <v xml:space="preserve"> SUCHITRA</v>
      </c>
      <c r="P52" s="243">
        <f t="shared" si="9"/>
        <v>4</v>
      </c>
      <c r="Q52" s="273">
        <f t="shared" si="10"/>
        <v>0.26666666666666666</v>
      </c>
      <c r="R52" s="264" t="str">
        <f t="shared" si="11"/>
        <v>N</v>
      </c>
      <c r="S52" s="249">
        <f t="shared" si="12"/>
        <v>5</v>
      </c>
      <c r="T52" s="274">
        <f t="shared" si="13"/>
        <v>0.33333333333333331</v>
      </c>
      <c r="U52" s="264" t="str">
        <f t="shared" si="14"/>
        <v>N</v>
      </c>
      <c r="V52" s="249">
        <f t="shared" si="15"/>
        <v>6</v>
      </c>
      <c r="W52" s="274">
        <f t="shared" si="16"/>
        <v>0.6</v>
      </c>
      <c r="X52" s="264" t="str">
        <f t="shared" si="17"/>
        <v>Y</v>
      </c>
    </row>
    <row r="53" spans="2:24" s="64" customFormat="1" ht="20.100000000000001" customHeight="1">
      <c r="B53" s="263">
        <v>39</v>
      </c>
      <c r="C53" s="260" t="str">
        <f>'Student Details'!D51</f>
        <v xml:space="preserve"> 16EE052</v>
      </c>
      <c r="D53" s="244" t="str">
        <f>'Student Details'!E51</f>
        <v xml:space="preserve"> SWATHI RAMESH R</v>
      </c>
      <c r="E53">
        <v>1</v>
      </c>
      <c r="F53">
        <v>1</v>
      </c>
      <c r="G53">
        <v>1</v>
      </c>
      <c r="H53"/>
      <c r="I53"/>
      <c r="J53"/>
      <c r="K53"/>
      <c r="L53" s="58"/>
      <c r="M53" s="242">
        <v>39</v>
      </c>
      <c r="N53" s="278" t="str">
        <f>'Student Details'!D51</f>
        <v xml:space="preserve"> 16EE052</v>
      </c>
      <c r="O53" s="278" t="str">
        <f>'Student Details'!E51</f>
        <v xml:space="preserve"> SWATHI RAMESH R</v>
      </c>
      <c r="P53" s="243">
        <f t="shared" si="9"/>
        <v>2</v>
      </c>
      <c r="Q53" s="273">
        <f t="shared" si="10"/>
        <v>0.13333333333333333</v>
      </c>
      <c r="R53" s="264" t="str">
        <f t="shared" si="11"/>
        <v>N</v>
      </c>
      <c r="S53" s="249">
        <f t="shared" si="12"/>
        <v>1</v>
      </c>
      <c r="T53" s="274">
        <f t="shared" si="13"/>
        <v>0.2</v>
      </c>
      <c r="U53" s="264" t="str">
        <f t="shared" si="14"/>
        <v>N</v>
      </c>
      <c r="V53" s="249" t="str">
        <f t="shared" si="15"/>
        <v>NA</v>
      </c>
      <c r="W53" s="274" t="str">
        <f t="shared" si="16"/>
        <v>NA</v>
      </c>
      <c r="X53" s="264" t="str">
        <f t="shared" si="17"/>
        <v>NA</v>
      </c>
    </row>
    <row r="54" spans="2:24" s="64" customFormat="1" ht="20.100000000000001" customHeight="1">
      <c r="B54" s="263">
        <v>40</v>
      </c>
      <c r="C54" s="260" t="str">
        <f>'Student Details'!D52</f>
        <v xml:space="preserve"> 16EE053</v>
      </c>
      <c r="D54" s="244" t="str">
        <f>'Student Details'!E52</f>
        <v xml:space="preserve"> TABREZ ALLAM</v>
      </c>
      <c r="E54">
        <v>5</v>
      </c>
      <c r="F54">
        <v>4</v>
      </c>
      <c r="G54">
        <v>3</v>
      </c>
      <c r="H54">
        <v>5</v>
      </c>
      <c r="I54">
        <v>3</v>
      </c>
      <c r="J54">
        <v>4</v>
      </c>
      <c r="K54">
        <v>4</v>
      </c>
      <c r="L54" s="58"/>
      <c r="M54" s="242">
        <v>40</v>
      </c>
      <c r="N54" s="278" t="str">
        <f>'Student Details'!D52</f>
        <v xml:space="preserve"> 16EE053</v>
      </c>
      <c r="O54" s="278" t="str">
        <f>'Student Details'!E52</f>
        <v xml:space="preserve"> TABREZ ALLAM</v>
      </c>
      <c r="P54" s="243">
        <f t="shared" si="9"/>
        <v>8</v>
      </c>
      <c r="Q54" s="273">
        <f t="shared" si="10"/>
        <v>0.53333333333333333</v>
      </c>
      <c r="R54" s="264" t="str">
        <f t="shared" si="11"/>
        <v>N</v>
      </c>
      <c r="S54" s="249">
        <f t="shared" si="12"/>
        <v>12</v>
      </c>
      <c r="T54" s="274">
        <f t="shared" si="13"/>
        <v>0.48</v>
      </c>
      <c r="U54" s="264" t="str">
        <f t="shared" si="14"/>
        <v>N</v>
      </c>
      <c r="V54" s="249">
        <f t="shared" si="15"/>
        <v>8</v>
      </c>
      <c r="W54" s="274">
        <f t="shared" si="16"/>
        <v>0.8</v>
      </c>
      <c r="X54" s="264" t="str">
        <f t="shared" si="17"/>
        <v>Y</v>
      </c>
    </row>
    <row r="55" spans="2:24" s="64" customFormat="1" ht="20.100000000000001" customHeight="1">
      <c r="B55" s="263">
        <v>41</v>
      </c>
      <c r="C55" s="260" t="str">
        <f>'Student Details'!D53</f>
        <v xml:space="preserve"> 16EE054</v>
      </c>
      <c r="D55" s="244" t="str">
        <f>'Student Details'!E53</f>
        <v xml:space="preserve"> VENKATESH H</v>
      </c>
      <c r="E55">
        <v>4</v>
      </c>
      <c r="F55">
        <v>1</v>
      </c>
      <c r="G55">
        <v>10</v>
      </c>
      <c r="H55">
        <v>4</v>
      </c>
      <c r="I55">
        <v>6</v>
      </c>
      <c r="J55">
        <v>4</v>
      </c>
      <c r="K55">
        <v>4</v>
      </c>
      <c r="L55" s="58"/>
      <c r="M55" s="242">
        <v>41</v>
      </c>
      <c r="N55" s="278" t="str">
        <f>'Student Details'!D53</f>
        <v xml:space="preserve"> 16EE054</v>
      </c>
      <c r="O55" s="278" t="str">
        <f>'Student Details'!E53</f>
        <v xml:space="preserve"> VENKATESH H</v>
      </c>
      <c r="P55" s="243">
        <f t="shared" si="9"/>
        <v>14</v>
      </c>
      <c r="Q55" s="273">
        <f t="shared" si="10"/>
        <v>0.93333333333333335</v>
      </c>
      <c r="R55" s="264" t="str">
        <f t="shared" si="11"/>
        <v>Y</v>
      </c>
      <c r="S55" s="249">
        <f t="shared" si="12"/>
        <v>11</v>
      </c>
      <c r="T55" s="274">
        <f t="shared" si="13"/>
        <v>0.44</v>
      </c>
      <c r="U55" s="264" t="str">
        <f t="shared" si="14"/>
        <v>N</v>
      </c>
      <c r="V55" s="249">
        <f t="shared" si="15"/>
        <v>8</v>
      </c>
      <c r="W55" s="274">
        <f t="shared" si="16"/>
        <v>0.8</v>
      </c>
      <c r="X55" s="264" t="str">
        <f t="shared" si="17"/>
        <v>Y</v>
      </c>
    </row>
    <row r="56" spans="2:24" s="64" customFormat="1" ht="20.100000000000001" customHeight="1">
      <c r="B56" s="263">
        <v>42</v>
      </c>
      <c r="C56" s="260" t="str">
        <f>'Student Details'!D54</f>
        <v xml:space="preserve"> 16EE055</v>
      </c>
      <c r="D56" s="244" t="str">
        <f>'Student Details'!E54</f>
        <v xml:space="preserve"> VIDYA I K</v>
      </c>
      <c r="E56">
        <v>4</v>
      </c>
      <c r="F56">
        <v>0</v>
      </c>
      <c r="G56">
        <v>2</v>
      </c>
      <c r="H56">
        <v>3</v>
      </c>
      <c r="I56"/>
      <c r="J56">
        <v>4</v>
      </c>
      <c r="K56">
        <v>2</v>
      </c>
      <c r="L56" s="58"/>
      <c r="M56" s="242">
        <v>42</v>
      </c>
      <c r="N56" s="278" t="str">
        <f>'Student Details'!D54</f>
        <v xml:space="preserve"> 16EE055</v>
      </c>
      <c r="O56" s="278" t="str">
        <f>'Student Details'!E54</f>
        <v xml:space="preserve"> VIDYA I K</v>
      </c>
      <c r="P56" s="243">
        <f t="shared" si="9"/>
        <v>6</v>
      </c>
      <c r="Q56" s="273">
        <f t="shared" si="10"/>
        <v>0.4</v>
      </c>
      <c r="R56" s="264" t="str">
        <f t="shared" si="11"/>
        <v>N</v>
      </c>
      <c r="S56" s="249">
        <f t="shared" si="12"/>
        <v>3</v>
      </c>
      <c r="T56" s="274">
        <f t="shared" si="13"/>
        <v>0.3</v>
      </c>
      <c r="U56" s="264" t="str">
        <f t="shared" si="14"/>
        <v>N</v>
      </c>
      <c r="V56" s="249">
        <f t="shared" si="15"/>
        <v>6</v>
      </c>
      <c r="W56" s="274">
        <f t="shared" si="16"/>
        <v>0.6</v>
      </c>
      <c r="X56" s="264" t="str">
        <f t="shared" si="17"/>
        <v>Y</v>
      </c>
    </row>
    <row r="57" spans="2:24" s="64" customFormat="1" ht="20.100000000000001" customHeight="1">
      <c r="B57" s="263">
        <v>43</v>
      </c>
      <c r="C57" s="260" t="str">
        <f>'Student Details'!D55</f>
        <v xml:space="preserve"> 16EE056</v>
      </c>
      <c r="D57" s="244" t="str">
        <f>'Student Details'!E55</f>
        <v xml:space="preserve"> YAMUNA S R</v>
      </c>
      <c r="E57">
        <v>4</v>
      </c>
      <c r="F57">
        <v>4</v>
      </c>
      <c r="G57">
        <v>10</v>
      </c>
      <c r="H57">
        <v>9</v>
      </c>
      <c r="I57">
        <v>9</v>
      </c>
      <c r="J57">
        <v>6</v>
      </c>
      <c r="K57">
        <v>2</v>
      </c>
      <c r="L57" s="58"/>
      <c r="M57" s="242">
        <v>43</v>
      </c>
      <c r="N57" s="278" t="str">
        <f>'Student Details'!D55</f>
        <v xml:space="preserve"> 16EE056</v>
      </c>
      <c r="O57" s="278" t="str">
        <f>'Student Details'!E55</f>
        <v xml:space="preserve"> YAMUNA S R</v>
      </c>
      <c r="P57" s="243">
        <f t="shared" si="9"/>
        <v>14</v>
      </c>
      <c r="Q57" s="273">
        <f t="shared" si="10"/>
        <v>0.93333333333333335</v>
      </c>
      <c r="R57" s="264" t="str">
        <f t="shared" si="11"/>
        <v>Y</v>
      </c>
      <c r="S57" s="249">
        <f t="shared" si="12"/>
        <v>22</v>
      </c>
      <c r="T57" s="274">
        <f t="shared" si="13"/>
        <v>0.88</v>
      </c>
      <c r="U57" s="264" t="str">
        <f t="shared" si="14"/>
        <v>Y</v>
      </c>
      <c r="V57" s="249">
        <f t="shared" si="15"/>
        <v>8</v>
      </c>
      <c r="W57" s="274">
        <f t="shared" si="16"/>
        <v>0.8</v>
      </c>
      <c r="X57" s="264" t="str">
        <f t="shared" si="17"/>
        <v>Y</v>
      </c>
    </row>
    <row r="58" spans="2:24" s="64" customFormat="1" ht="20.100000000000001" customHeight="1">
      <c r="B58" s="263">
        <v>44</v>
      </c>
      <c r="C58" s="260" t="str">
        <f>'Student Details'!D56</f>
        <v xml:space="preserve"> 16EE061</v>
      </c>
      <c r="D58" s="244" t="str">
        <f>'Student Details'!E56</f>
        <v xml:space="preserve"> NAYANA T A</v>
      </c>
      <c r="E58">
        <v>4</v>
      </c>
      <c r="F58"/>
      <c r="G58">
        <v>8</v>
      </c>
      <c r="H58">
        <v>6</v>
      </c>
      <c r="I58">
        <v>8</v>
      </c>
      <c r="J58">
        <v>5</v>
      </c>
      <c r="K58">
        <v>2</v>
      </c>
      <c r="L58" s="58"/>
      <c r="M58" s="242">
        <v>44</v>
      </c>
      <c r="N58" s="278" t="str">
        <f>'Student Details'!D56</f>
        <v xml:space="preserve"> 16EE061</v>
      </c>
      <c r="O58" s="278" t="str">
        <f>'Student Details'!E56</f>
        <v xml:space="preserve"> NAYANA T A</v>
      </c>
      <c r="P58" s="243">
        <f t="shared" si="9"/>
        <v>12</v>
      </c>
      <c r="Q58" s="273">
        <f t="shared" si="10"/>
        <v>0.8</v>
      </c>
      <c r="R58" s="264" t="str">
        <f t="shared" si="11"/>
        <v>Y</v>
      </c>
      <c r="S58" s="249">
        <f t="shared" si="12"/>
        <v>14</v>
      </c>
      <c r="T58" s="274">
        <f t="shared" si="13"/>
        <v>0.7</v>
      </c>
      <c r="U58" s="264" t="str">
        <f t="shared" si="14"/>
        <v>Y</v>
      </c>
      <c r="V58" s="249">
        <f t="shared" si="15"/>
        <v>7</v>
      </c>
      <c r="W58" s="274">
        <f t="shared" si="16"/>
        <v>0.7</v>
      </c>
      <c r="X58" s="264" t="str">
        <f t="shared" si="17"/>
        <v>Y</v>
      </c>
    </row>
    <row r="59" spans="2:24" s="64" customFormat="1" ht="20.100000000000001" customHeight="1">
      <c r="B59" s="263">
        <v>45</v>
      </c>
      <c r="C59" s="260" t="str">
        <f>'Student Details'!D57</f>
        <v xml:space="preserve"> 16EE062</v>
      </c>
      <c r="D59" s="244" t="str">
        <f>'Student Details'!E57</f>
        <v xml:space="preserve"> AISHWARIYA</v>
      </c>
      <c r="E59">
        <v>4</v>
      </c>
      <c r="F59">
        <v>4</v>
      </c>
      <c r="G59">
        <v>10</v>
      </c>
      <c r="H59">
        <v>5</v>
      </c>
      <c r="I59">
        <v>8</v>
      </c>
      <c r="J59">
        <v>5</v>
      </c>
      <c r="K59">
        <v>1</v>
      </c>
      <c r="L59" s="58"/>
      <c r="M59" s="242">
        <v>45</v>
      </c>
      <c r="N59" s="278" t="str">
        <f>'Student Details'!D57</f>
        <v xml:space="preserve"> 16EE062</v>
      </c>
      <c r="O59" s="278" t="str">
        <f>'Student Details'!E57</f>
        <v xml:space="preserve"> AISHWARIYA</v>
      </c>
      <c r="P59" s="243">
        <f t="shared" si="9"/>
        <v>14</v>
      </c>
      <c r="Q59" s="273">
        <f t="shared" si="10"/>
        <v>0.93333333333333335</v>
      </c>
      <c r="R59" s="264" t="str">
        <f t="shared" si="11"/>
        <v>Y</v>
      </c>
      <c r="S59" s="249">
        <f t="shared" si="12"/>
        <v>17</v>
      </c>
      <c r="T59" s="274">
        <f t="shared" si="13"/>
        <v>0.68</v>
      </c>
      <c r="U59" s="264" t="str">
        <f t="shared" si="14"/>
        <v>Y</v>
      </c>
      <c r="V59" s="249">
        <f t="shared" si="15"/>
        <v>6</v>
      </c>
      <c r="W59" s="274">
        <f t="shared" si="16"/>
        <v>0.6</v>
      </c>
      <c r="X59" s="264" t="str">
        <f t="shared" si="17"/>
        <v>Y</v>
      </c>
    </row>
    <row r="60" spans="2:24" s="64" customFormat="1" ht="20.100000000000001" customHeight="1">
      <c r="B60" s="263">
        <v>46</v>
      </c>
      <c r="C60" s="260" t="str">
        <f>'Student Details'!D58</f>
        <v xml:space="preserve"> 16EE063</v>
      </c>
      <c r="D60" s="244" t="str">
        <f>'Student Details'!E58</f>
        <v xml:space="preserve"> T N RANJEET</v>
      </c>
      <c r="E60">
        <v>4</v>
      </c>
      <c r="F60">
        <v>2</v>
      </c>
      <c r="G60">
        <v>6</v>
      </c>
      <c r="H60">
        <v>5</v>
      </c>
      <c r="I60">
        <v>2</v>
      </c>
      <c r="J60">
        <v>5</v>
      </c>
      <c r="K60">
        <v>4</v>
      </c>
      <c r="L60" s="58"/>
      <c r="M60" s="242">
        <v>46</v>
      </c>
      <c r="N60" s="278" t="str">
        <f>'Student Details'!D58</f>
        <v xml:space="preserve"> 16EE063</v>
      </c>
      <c r="O60" s="278" t="str">
        <f>'Student Details'!E58</f>
        <v xml:space="preserve"> T N RANJEET</v>
      </c>
      <c r="P60" s="243">
        <f t="shared" si="9"/>
        <v>10</v>
      </c>
      <c r="Q60" s="273">
        <f t="shared" si="10"/>
        <v>0.66666666666666663</v>
      </c>
      <c r="R60" s="264" t="str">
        <f t="shared" si="11"/>
        <v>Y</v>
      </c>
      <c r="S60" s="249">
        <f t="shared" si="12"/>
        <v>9</v>
      </c>
      <c r="T60" s="274">
        <f t="shared" si="13"/>
        <v>0.36</v>
      </c>
      <c r="U60" s="264" t="str">
        <f t="shared" si="14"/>
        <v>N</v>
      </c>
      <c r="V60" s="249">
        <f t="shared" si="15"/>
        <v>9</v>
      </c>
      <c r="W60" s="274">
        <f t="shared" si="16"/>
        <v>0.9</v>
      </c>
      <c r="X60" s="264" t="str">
        <f t="shared" si="17"/>
        <v>Y</v>
      </c>
    </row>
    <row r="61" spans="2:24" s="64" customFormat="1" ht="20.100000000000001" customHeight="1">
      <c r="B61" s="263">
        <v>47</v>
      </c>
      <c r="C61" s="260" t="str">
        <f>'Student Details'!D59</f>
        <v xml:space="preserve"> 16EE064</v>
      </c>
      <c r="D61" s="244" t="str">
        <f>'Student Details'!E59</f>
        <v xml:space="preserve"> VIDYASHRI S</v>
      </c>
      <c r="E61">
        <v>0</v>
      </c>
      <c r="F61">
        <v>3</v>
      </c>
      <c r="G61"/>
      <c r="H61"/>
      <c r="I61"/>
      <c r="J61">
        <v>0</v>
      </c>
      <c r="K61">
        <v>0</v>
      </c>
      <c r="L61" s="58"/>
      <c r="M61" s="242">
        <v>47</v>
      </c>
      <c r="N61" s="278" t="str">
        <f>'Student Details'!D59</f>
        <v xml:space="preserve"> 16EE064</v>
      </c>
      <c r="O61" s="278" t="str">
        <f>'Student Details'!E59</f>
        <v xml:space="preserve"> VIDYASHRI S</v>
      </c>
      <c r="P61" s="243" t="str">
        <f t="shared" si="9"/>
        <v>NA</v>
      </c>
      <c r="Q61" s="273" t="str">
        <f t="shared" si="10"/>
        <v>NA</v>
      </c>
      <c r="R61" s="264" t="str">
        <f t="shared" si="11"/>
        <v>NA</v>
      </c>
      <c r="S61" s="249">
        <f t="shared" si="12"/>
        <v>3</v>
      </c>
      <c r="T61" s="274">
        <f t="shared" si="13"/>
        <v>0.6</v>
      </c>
      <c r="U61" s="264" t="str">
        <f t="shared" si="14"/>
        <v>Y</v>
      </c>
      <c r="V61" s="249" t="str">
        <f t="shared" si="15"/>
        <v>NA</v>
      </c>
      <c r="W61" s="274" t="str">
        <f t="shared" si="16"/>
        <v>NA</v>
      </c>
      <c r="X61" s="264" t="str">
        <f t="shared" si="17"/>
        <v>NA</v>
      </c>
    </row>
    <row r="62" spans="2:24" s="64" customFormat="1" ht="20.100000000000001" customHeight="1">
      <c r="B62" s="263">
        <v>48</v>
      </c>
      <c r="C62" s="260" t="str">
        <f>'Student Details'!D60</f>
        <v xml:space="preserve"> 16EE409</v>
      </c>
      <c r="D62" s="244" t="str">
        <f>'Student Details'!E60</f>
        <v xml:space="preserve"> MANIKANTA HEGDE N</v>
      </c>
      <c r="E62">
        <v>4</v>
      </c>
      <c r="F62">
        <v>1</v>
      </c>
      <c r="G62">
        <v>5</v>
      </c>
      <c r="H62"/>
      <c r="I62"/>
      <c r="J62">
        <v>0</v>
      </c>
      <c r="K62"/>
      <c r="L62" s="58"/>
      <c r="M62" s="242">
        <v>48</v>
      </c>
      <c r="N62" s="278" t="str">
        <f>'Student Details'!D60</f>
        <v xml:space="preserve"> 16EE409</v>
      </c>
      <c r="O62" s="278" t="str">
        <f>'Student Details'!E60</f>
        <v xml:space="preserve"> MANIKANTA HEGDE N</v>
      </c>
      <c r="P62" s="243">
        <f t="shared" si="9"/>
        <v>9</v>
      </c>
      <c r="Q62" s="273">
        <f t="shared" si="10"/>
        <v>0.6</v>
      </c>
      <c r="R62" s="264" t="str">
        <f t="shared" si="11"/>
        <v>Y</v>
      </c>
      <c r="S62" s="249">
        <f t="shared" si="12"/>
        <v>1</v>
      </c>
      <c r="T62" s="274">
        <f t="shared" si="13"/>
        <v>0.2</v>
      </c>
      <c r="U62" s="264" t="str">
        <f t="shared" si="14"/>
        <v>N</v>
      </c>
      <c r="V62" s="249" t="str">
        <f t="shared" si="15"/>
        <v>NA</v>
      </c>
      <c r="W62" s="274" t="str">
        <f t="shared" si="16"/>
        <v>NA</v>
      </c>
      <c r="X62" s="264" t="str">
        <f t="shared" si="17"/>
        <v>NA</v>
      </c>
    </row>
    <row r="63" spans="2:24" s="64" customFormat="1" ht="20.100000000000001" customHeight="1">
      <c r="B63" s="263">
        <v>49</v>
      </c>
      <c r="C63" s="260" t="str">
        <f>'Student Details'!D61</f>
        <v xml:space="preserve"> 16EE410</v>
      </c>
      <c r="D63" s="244" t="str">
        <f>'Student Details'!E61</f>
        <v xml:space="preserve"> PADMA PRASAD K.L</v>
      </c>
      <c r="E63">
        <v>4</v>
      </c>
      <c r="F63">
        <v>3</v>
      </c>
      <c r="G63">
        <v>4</v>
      </c>
      <c r="H63">
        <v>4</v>
      </c>
      <c r="I63">
        <v>0</v>
      </c>
      <c r="J63">
        <v>0</v>
      </c>
      <c r="K63">
        <v>0</v>
      </c>
      <c r="L63" s="58"/>
      <c r="M63" s="242">
        <v>49</v>
      </c>
      <c r="N63" s="278" t="str">
        <f>'Student Details'!D61</f>
        <v xml:space="preserve"> 16EE410</v>
      </c>
      <c r="O63" s="278" t="str">
        <f>'Student Details'!E61</f>
        <v xml:space="preserve"> PADMA PRASAD K.L</v>
      </c>
      <c r="P63" s="243">
        <f t="shared" si="9"/>
        <v>8</v>
      </c>
      <c r="Q63" s="273">
        <f t="shared" si="10"/>
        <v>0.53333333333333333</v>
      </c>
      <c r="R63" s="264" t="str">
        <f t="shared" si="11"/>
        <v>N</v>
      </c>
      <c r="S63" s="249">
        <f t="shared" si="12"/>
        <v>7</v>
      </c>
      <c r="T63" s="274">
        <f t="shared" si="13"/>
        <v>0.46666666666666667</v>
      </c>
      <c r="U63" s="264" t="str">
        <f t="shared" si="14"/>
        <v>N</v>
      </c>
      <c r="V63" s="249" t="str">
        <f t="shared" si="15"/>
        <v>NA</v>
      </c>
      <c r="W63" s="274" t="str">
        <f t="shared" si="16"/>
        <v>NA</v>
      </c>
      <c r="X63" s="264" t="str">
        <f t="shared" si="17"/>
        <v>NA</v>
      </c>
    </row>
    <row r="64" spans="2:24" s="64" customFormat="1" ht="20.100000000000001" customHeight="1">
      <c r="B64" s="263">
        <v>50</v>
      </c>
      <c r="C64" s="260" t="str">
        <f>'Student Details'!D62</f>
        <v xml:space="preserve"> 17EE400</v>
      </c>
      <c r="D64" s="244" t="str">
        <f>'Student Details'!E62</f>
        <v xml:space="preserve"> AKASH M</v>
      </c>
      <c r="E64">
        <v>5</v>
      </c>
      <c r="F64">
        <v>4</v>
      </c>
      <c r="G64">
        <v>10</v>
      </c>
      <c r="H64">
        <v>8</v>
      </c>
      <c r="I64">
        <v>7</v>
      </c>
      <c r="J64"/>
      <c r="K64">
        <v>1</v>
      </c>
      <c r="L64" s="58"/>
      <c r="M64" s="242">
        <v>50</v>
      </c>
      <c r="N64" s="278" t="str">
        <f>'Student Details'!D62</f>
        <v xml:space="preserve"> 17EE400</v>
      </c>
      <c r="O64" s="278" t="str">
        <f>'Student Details'!E62</f>
        <v xml:space="preserve"> AKASH M</v>
      </c>
      <c r="P64" s="243">
        <f t="shared" si="9"/>
        <v>15</v>
      </c>
      <c r="Q64" s="273">
        <f t="shared" si="10"/>
        <v>1</v>
      </c>
      <c r="R64" s="264" t="str">
        <f t="shared" si="11"/>
        <v>Y</v>
      </c>
      <c r="S64" s="249">
        <f t="shared" si="12"/>
        <v>19</v>
      </c>
      <c r="T64" s="274">
        <f t="shared" si="13"/>
        <v>0.76</v>
      </c>
      <c r="U64" s="264" t="str">
        <f t="shared" si="14"/>
        <v>Y</v>
      </c>
      <c r="V64" s="249">
        <f t="shared" si="15"/>
        <v>1</v>
      </c>
      <c r="W64" s="274">
        <f t="shared" si="16"/>
        <v>0.25</v>
      </c>
      <c r="X64" s="264" t="str">
        <f t="shared" si="17"/>
        <v>N</v>
      </c>
    </row>
    <row r="65" spans="2:24" s="64" customFormat="1" ht="20.100000000000001" customHeight="1">
      <c r="B65" s="263">
        <v>51</v>
      </c>
      <c r="C65" s="260" t="str">
        <f>'Student Details'!D63</f>
        <v xml:space="preserve"> 17EE401</v>
      </c>
      <c r="D65" s="244" t="str">
        <f>'Student Details'!E63</f>
        <v xml:space="preserve"> AMITH MAHAGAVNKAR</v>
      </c>
      <c r="E65">
        <v>5</v>
      </c>
      <c r="F65">
        <v>4</v>
      </c>
      <c r="G65">
        <v>8</v>
      </c>
      <c r="H65">
        <v>8</v>
      </c>
      <c r="I65">
        <v>3</v>
      </c>
      <c r="J65">
        <v>5</v>
      </c>
      <c r="K65">
        <v>1</v>
      </c>
      <c r="L65" s="58"/>
      <c r="M65" s="242">
        <v>51</v>
      </c>
      <c r="N65" s="278" t="str">
        <f>'Student Details'!D63</f>
        <v xml:space="preserve"> 17EE401</v>
      </c>
      <c r="O65" s="278" t="str">
        <f>'Student Details'!E63</f>
        <v xml:space="preserve"> AMITH MAHAGAVNKAR</v>
      </c>
      <c r="P65" s="243">
        <f t="shared" si="9"/>
        <v>13</v>
      </c>
      <c r="Q65" s="273">
        <f t="shared" si="10"/>
        <v>0.8666666666666667</v>
      </c>
      <c r="R65" s="264" t="str">
        <f t="shared" si="11"/>
        <v>Y</v>
      </c>
      <c r="S65" s="249">
        <f t="shared" si="12"/>
        <v>15</v>
      </c>
      <c r="T65" s="274">
        <f t="shared" si="13"/>
        <v>0.6</v>
      </c>
      <c r="U65" s="264" t="str">
        <f t="shared" si="14"/>
        <v>Y</v>
      </c>
      <c r="V65" s="249">
        <f t="shared" si="15"/>
        <v>6</v>
      </c>
      <c r="W65" s="274">
        <f t="shared" si="16"/>
        <v>0.6</v>
      </c>
      <c r="X65" s="264" t="str">
        <f t="shared" si="17"/>
        <v>Y</v>
      </c>
    </row>
    <row r="66" spans="2:24" s="64" customFormat="1" ht="20.100000000000001" customHeight="1">
      <c r="B66" s="263">
        <v>52</v>
      </c>
      <c r="C66" s="260" t="str">
        <f>'Student Details'!D64</f>
        <v xml:space="preserve"> 17EE402</v>
      </c>
      <c r="D66" s="244" t="str">
        <f>'Student Details'!E64</f>
        <v xml:space="preserve"> DEVIKARANI M C</v>
      </c>
      <c r="E66">
        <v>4</v>
      </c>
      <c r="F66">
        <v>4</v>
      </c>
      <c r="G66">
        <v>10</v>
      </c>
      <c r="H66">
        <v>9</v>
      </c>
      <c r="I66">
        <v>9</v>
      </c>
      <c r="J66">
        <v>5</v>
      </c>
      <c r="K66">
        <v>2</v>
      </c>
      <c r="L66" s="58"/>
      <c r="M66" s="242">
        <v>52</v>
      </c>
      <c r="N66" s="278" t="str">
        <f>'Student Details'!D64</f>
        <v xml:space="preserve"> 17EE402</v>
      </c>
      <c r="O66" s="278" t="str">
        <f>'Student Details'!E64</f>
        <v xml:space="preserve"> DEVIKARANI M C</v>
      </c>
      <c r="P66" s="243">
        <f t="shared" si="9"/>
        <v>14</v>
      </c>
      <c r="Q66" s="273">
        <f t="shared" si="10"/>
        <v>0.93333333333333335</v>
      </c>
      <c r="R66" s="264" t="str">
        <f t="shared" si="11"/>
        <v>Y</v>
      </c>
      <c r="S66" s="249">
        <f t="shared" si="12"/>
        <v>22</v>
      </c>
      <c r="T66" s="274">
        <f t="shared" si="13"/>
        <v>0.88</v>
      </c>
      <c r="U66" s="264" t="str">
        <f t="shared" si="14"/>
        <v>Y</v>
      </c>
      <c r="V66" s="249">
        <f t="shared" si="15"/>
        <v>7</v>
      </c>
      <c r="W66" s="274">
        <f t="shared" si="16"/>
        <v>0.7</v>
      </c>
      <c r="X66" s="264" t="str">
        <f t="shared" si="17"/>
        <v>Y</v>
      </c>
    </row>
    <row r="67" spans="2:24" s="64" customFormat="1" ht="20.100000000000001" customHeight="1">
      <c r="B67" s="263">
        <v>53</v>
      </c>
      <c r="C67" s="260" t="str">
        <f>'Student Details'!D65</f>
        <v xml:space="preserve"> 17EE403</v>
      </c>
      <c r="D67" s="244" t="str">
        <f>'Student Details'!E65</f>
        <v xml:space="preserve"> HAMSALEKHA V S</v>
      </c>
      <c r="E67">
        <v>5</v>
      </c>
      <c r="F67">
        <v>2</v>
      </c>
      <c r="G67">
        <v>8</v>
      </c>
      <c r="H67">
        <v>8</v>
      </c>
      <c r="I67">
        <v>1</v>
      </c>
      <c r="J67">
        <v>4</v>
      </c>
      <c r="K67">
        <v>1</v>
      </c>
      <c r="L67" s="58"/>
      <c r="M67" s="242">
        <v>53</v>
      </c>
      <c r="N67" s="278" t="str">
        <f>'Student Details'!D65</f>
        <v xml:space="preserve"> 17EE403</v>
      </c>
      <c r="O67" s="278" t="str">
        <f>'Student Details'!E65</f>
        <v xml:space="preserve"> HAMSALEKHA V S</v>
      </c>
      <c r="P67" s="243">
        <f t="shared" si="9"/>
        <v>13</v>
      </c>
      <c r="Q67" s="273">
        <f t="shared" si="10"/>
        <v>0.8666666666666667</v>
      </c>
      <c r="R67" s="264" t="str">
        <f t="shared" si="11"/>
        <v>Y</v>
      </c>
      <c r="S67" s="249">
        <f t="shared" si="12"/>
        <v>11</v>
      </c>
      <c r="T67" s="274">
        <f t="shared" si="13"/>
        <v>0.44</v>
      </c>
      <c r="U67" s="264" t="str">
        <f t="shared" si="14"/>
        <v>N</v>
      </c>
      <c r="V67" s="249">
        <f t="shared" si="15"/>
        <v>5</v>
      </c>
      <c r="W67" s="274">
        <f t="shared" si="16"/>
        <v>0.5</v>
      </c>
      <c r="X67" s="264" t="str">
        <f t="shared" si="17"/>
        <v>N</v>
      </c>
    </row>
    <row r="68" spans="2:24" s="64" customFormat="1" ht="20.100000000000001" customHeight="1">
      <c r="B68" s="263">
        <v>54</v>
      </c>
      <c r="C68" s="260" t="str">
        <f>'Student Details'!D66</f>
        <v xml:space="preserve"> 17EE404</v>
      </c>
      <c r="D68" s="244" t="str">
        <f>'Student Details'!E66</f>
        <v xml:space="preserve"> HARISH S</v>
      </c>
      <c r="E68">
        <v>4</v>
      </c>
      <c r="F68">
        <v>3</v>
      </c>
      <c r="G68">
        <v>6</v>
      </c>
      <c r="H68">
        <v>0</v>
      </c>
      <c r="I68">
        <v>2</v>
      </c>
      <c r="J68"/>
      <c r="K68">
        <v>1</v>
      </c>
      <c r="L68" s="58"/>
      <c r="M68" s="242">
        <v>54</v>
      </c>
      <c r="N68" s="278" t="str">
        <f>'Student Details'!D66</f>
        <v xml:space="preserve"> 17EE404</v>
      </c>
      <c r="O68" s="278" t="str">
        <f>'Student Details'!E66</f>
        <v xml:space="preserve"> HARISH S</v>
      </c>
      <c r="P68" s="243">
        <f t="shared" si="9"/>
        <v>10</v>
      </c>
      <c r="Q68" s="273">
        <f t="shared" si="10"/>
        <v>0.66666666666666663</v>
      </c>
      <c r="R68" s="264" t="str">
        <f t="shared" si="11"/>
        <v>Y</v>
      </c>
      <c r="S68" s="249">
        <f t="shared" si="12"/>
        <v>5</v>
      </c>
      <c r="T68" s="274">
        <f t="shared" si="13"/>
        <v>0.33333333333333331</v>
      </c>
      <c r="U68" s="264" t="str">
        <f t="shared" si="14"/>
        <v>N</v>
      </c>
      <c r="V68" s="249">
        <f t="shared" si="15"/>
        <v>1</v>
      </c>
      <c r="W68" s="274">
        <f t="shared" si="16"/>
        <v>0.25</v>
      </c>
      <c r="X68" s="264" t="str">
        <f t="shared" si="17"/>
        <v>N</v>
      </c>
    </row>
    <row r="69" spans="2:24" s="64" customFormat="1" ht="20.100000000000001" customHeight="1">
      <c r="B69" s="263">
        <v>55</v>
      </c>
      <c r="C69" s="260" t="str">
        <f>'Student Details'!D67</f>
        <v xml:space="preserve"> 17EE405</v>
      </c>
      <c r="D69" s="244" t="str">
        <f>'Student Details'!E67</f>
        <v xml:space="preserve"> J ASIYA</v>
      </c>
      <c r="E69">
        <v>5</v>
      </c>
      <c r="F69">
        <v>4</v>
      </c>
      <c r="G69">
        <v>9</v>
      </c>
      <c r="H69">
        <v>9</v>
      </c>
      <c r="I69">
        <v>8</v>
      </c>
      <c r="J69">
        <v>6</v>
      </c>
      <c r="K69">
        <v>3</v>
      </c>
      <c r="L69" s="58"/>
      <c r="M69" s="242">
        <v>55</v>
      </c>
      <c r="N69" s="278" t="str">
        <f>'Student Details'!D67</f>
        <v xml:space="preserve"> 17EE405</v>
      </c>
      <c r="O69" s="278" t="str">
        <f>'Student Details'!E67</f>
        <v xml:space="preserve"> J ASIYA</v>
      </c>
      <c r="P69" s="243">
        <f t="shared" si="9"/>
        <v>14</v>
      </c>
      <c r="Q69" s="273">
        <f t="shared" si="10"/>
        <v>0.93333333333333335</v>
      </c>
      <c r="R69" s="264" t="str">
        <f t="shared" si="11"/>
        <v>Y</v>
      </c>
      <c r="S69" s="249">
        <f t="shared" si="12"/>
        <v>21</v>
      </c>
      <c r="T69" s="274">
        <f t="shared" si="13"/>
        <v>0.84</v>
      </c>
      <c r="U69" s="264" t="str">
        <f t="shared" si="14"/>
        <v>Y</v>
      </c>
      <c r="V69" s="249">
        <f t="shared" si="15"/>
        <v>9</v>
      </c>
      <c r="W69" s="274">
        <f t="shared" si="16"/>
        <v>0.9</v>
      </c>
      <c r="X69" s="264" t="str">
        <f t="shared" si="17"/>
        <v>Y</v>
      </c>
    </row>
    <row r="70" spans="2:24" s="64" customFormat="1" ht="20.100000000000001" customHeight="1">
      <c r="B70" s="263">
        <v>56</v>
      </c>
      <c r="C70" s="260" t="str">
        <f>'Student Details'!D68</f>
        <v xml:space="preserve"> 17EE406</v>
      </c>
      <c r="D70" s="244" t="str">
        <f>'Student Details'!E68</f>
        <v xml:space="preserve"> MANJUNATHA K</v>
      </c>
      <c r="E70">
        <v>4</v>
      </c>
      <c r="F70">
        <v>4</v>
      </c>
      <c r="G70">
        <v>8</v>
      </c>
      <c r="H70">
        <v>4</v>
      </c>
      <c r="I70">
        <v>2</v>
      </c>
      <c r="J70">
        <v>0</v>
      </c>
      <c r="K70">
        <v>0</v>
      </c>
      <c r="L70" s="58"/>
      <c r="M70" s="242">
        <v>56</v>
      </c>
      <c r="N70" s="278" t="str">
        <f>'Student Details'!D68</f>
        <v xml:space="preserve"> 17EE406</v>
      </c>
      <c r="O70" s="278" t="str">
        <f>'Student Details'!E68</f>
        <v xml:space="preserve"> MANJUNATHA K</v>
      </c>
      <c r="P70" s="243">
        <f t="shared" si="9"/>
        <v>12</v>
      </c>
      <c r="Q70" s="273">
        <f t="shared" si="10"/>
        <v>0.8</v>
      </c>
      <c r="R70" s="264" t="str">
        <f t="shared" si="11"/>
        <v>Y</v>
      </c>
      <c r="S70" s="249">
        <f t="shared" si="12"/>
        <v>10</v>
      </c>
      <c r="T70" s="274">
        <f t="shared" si="13"/>
        <v>0.4</v>
      </c>
      <c r="U70" s="264" t="str">
        <f t="shared" si="14"/>
        <v>N</v>
      </c>
      <c r="V70" s="249" t="str">
        <f t="shared" si="15"/>
        <v>NA</v>
      </c>
      <c r="W70" s="274" t="str">
        <f t="shared" si="16"/>
        <v>NA</v>
      </c>
      <c r="X70" s="264" t="str">
        <f t="shared" si="17"/>
        <v>NA</v>
      </c>
    </row>
    <row r="71" spans="2:24" s="64" customFormat="1" ht="20.100000000000001" customHeight="1">
      <c r="B71" s="263">
        <v>57</v>
      </c>
      <c r="C71" s="278" t="str">
        <f>'Student Details'!D69</f>
        <v xml:space="preserve"> 17EE408</v>
      </c>
      <c r="D71" s="278" t="str">
        <f>'Student Details'!E69</f>
        <v xml:space="preserve"> RAVINDRA</v>
      </c>
      <c r="E71">
        <v>2</v>
      </c>
      <c r="F71">
        <v>0</v>
      </c>
      <c r="G71">
        <v>8</v>
      </c>
      <c r="H71">
        <v>2</v>
      </c>
      <c r="I71">
        <v>2</v>
      </c>
      <c r="J71">
        <v>4</v>
      </c>
      <c r="K71"/>
      <c r="L71" s="58"/>
      <c r="M71" s="242">
        <v>57</v>
      </c>
      <c r="N71" s="278" t="str">
        <f>'Student Details'!D69</f>
        <v xml:space="preserve"> 17EE408</v>
      </c>
      <c r="O71" s="278" t="str">
        <f>'Student Details'!E69</f>
        <v xml:space="preserve"> RAVINDRA</v>
      </c>
      <c r="P71" s="243">
        <f t="shared" si="9"/>
        <v>10</v>
      </c>
      <c r="Q71" s="273">
        <f t="shared" si="10"/>
        <v>0.66666666666666663</v>
      </c>
      <c r="R71" s="266" t="str">
        <f t="shared" si="11"/>
        <v>Y</v>
      </c>
      <c r="S71" s="249">
        <f t="shared" si="12"/>
        <v>4</v>
      </c>
      <c r="T71" s="273">
        <f t="shared" si="13"/>
        <v>0.2</v>
      </c>
      <c r="U71" s="266" t="str">
        <f t="shared" si="14"/>
        <v>N</v>
      </c>
      <c r="V71" s="249">
        <f t="shared" si="15"/>
        <v>4</v>
      </c>
      <c r="W71" s="273">
        <f t="shared" si="16"/>
        <v>0.66666666666666663</v>
      </c>
      <c r="X71" s="266" t="str">
        <f t="shared" si="17"/>
        <v>Y</v>
      </c>
    </row>
    <row r="72" spans="2:24" s="64" customFormat="1" ht="20.100000000000001" customHeight="1">
      <c r="B72" s="263">
        <v>58</v>
      </c>
      <c r="C72" s="278" t="str">
        <f>'Student Details'!D70</f>
        <v xml:space="preserve"> 17EE409</v>
      </c>
      <c r="D72" s="278" t="str">
        <f>'Student Details'!E70</f>
        <v xml:space="preserve"> SAMARTHA NAVALE</v>
      </c>
      <c r="E72">
        <v>4</v>
      </c>
      <c r="F72">
        <v>1</v>
      </c>
      <c r="G72">
        <v>8</v>
      </c>
      <c r="H72">
        <v>0</v>
      </c>
      <c r="I72">
        <v>4</v>
      </c>
      <c r="J72">
        <v>4</v>
      </c>
      <c r="K72">
        <v>1</v>
      </c>
      <c r="L72" s="58"/>
      <c r="M72" s="242">
        <v>58</v>
      </c>
      <c r="N72" s="278" t="str">
        <f>'Student Details'!D70</f>
        <v xml:space="preserve"> 17EE409</v>
      </c>
      <c r="O72" s="278" t="str">
        <f>'Student Details'!E70</f>
        <v xml:space="preserve"> SAMARTHA NAVALE</v>
      </c>
      <c r="P72" s="243">
        <f t="shared" si="9"/>
        <v>12</v>
      </c>
      <c r="Q72" s="273">
        <f t="shared" si="10"/>
        <v>0.8</v>
      </c>
      <c r="R72" s="266" t="str">
        <f t="shared" si="11"/>
        <v>Y</v>
      </c>
      <c r="S72" s="249">
        <f t="shared" si="12"/>
        <v>5</v>
      </c>
      <c r="T72" s="273">
        <f t="shared" si="13"/>
        <v>0.33333333333333331</v>
      </c>
      <c r="U72" s="266" t="str">
        <f t="shared" si="14"/>
        <v>N</v>
      </c>
      <c r="V72" s="249">
        <f t="shared" si="15"/>
        <v>5</v>
      </c>
      <c r="W72" s="273">
        <f t="shared" si="16"/>
        <v>0.5</v>
      </c>
      <c r="X72" s="266" t="str">
        <f t="shared" si="17"/>
        <v>N</v>
      </c>
    </row>
    <row r="73" spans="2:24" s="64" customFormat="1" ht="20.100000000000001" customHeight="1">
      <c r="B73" s="263">
        <v>59</v>
      </c>
      <c r="C73" s="278" t="str">
        <f>'Student Details'!D71</f>
        <v xml:space="preserve"> 17EE410</v>
      </c>
      <c r="D73" s="278" t="str">
        <f>'Student Details'!E71</f>
        <v xml:space="preserve"> SNEHA MATHAPATI</v>
      </c>
      <c r="E73">
        <v>5</v>
      </c>
      <c r="F73">
        <v>3</v>
      </c>
      <c r="G73">
        <v>10</v>
      </c>
      <c r="H73">
        <v>9</v>
      </c>
      <c r="I73">
        <v>5</v>
      </c>
      <c r="J73">
        <v>5</v>
      </c>
      <c r="K73">
        <v>1</v>
      </c>
      <c r="L73" s="58"/>
      <c r="M73" s="242">
        <v>59</v>
      </c>
      <c r="N73" s="278" t="str">
        <f>'Student Details'!D71</f>
        <v xml:space="preserve"> 17EE410</v>
      </c>
      <c r="O73" s="278" t="str">
        <f>'Student Details'!E71</f>
        <v xml:space="preserve"> SNEHA MATHAPATI</v>
      </c>
      <c r="P73" s="243">
        <f t="shared" si="9"/>
        <v>15</v>
      </c>
      <c r="Q73" s="273">
        <f t="shared" si="10"/>
        <v>1</v>
      </c>
      <c r="R73" s="266" t="str">
        <f t="shared" si="11"/>
        <v>Y</v>
      </c>
      <c r="S73" s="249">
        <f t="shared" si="12"/>
        <v>17</v>
      </c>
      <c r="T73" s="273">
        <f t="shared" si="13"/>
        <v>0.68</v>
      </c>
      <c r="U73" s="266" t="str">
        <f t="shared" si="14"/>
        <v>Y</v>
      </c>
      <c r="V73" s="249">
        <f t="shared" si="15"/>
        <v>6</v>
      </c>
      <c r="W73" s="273">
        <f t="shared" si="16"/>
        <v>0.6</v>
      </c>
      <c r="X73" s="266" t="str">
        <f t="shared" si="17"/>
        <v>Y</v>
      </c>
    </row>
    <row r="74" spans="2:24" s="64" customFormat="1" ht="20.100000000000001" customHeight="1">
      <c r="B74" s="263">
        <v>60</v>
      </c>
      <c r="C74" s="278" t="str">
        <f>'Student Details'!D72</f>
        <v xml:space="preserve"> 17EE411</v>
      </c>
      <c r="D74" s="278" t="str">
        <f>'Student Details'!E72</f>
        <v xml:space="preserve"> SUHAS T A</v>
      </c>
      <c r="E74"/>
      <c r="F74">
        <v>1</v>
      </c>
      <c r="G74">
        <v>8</v>
      </c>
      <c r="H74"/>
      <c r="I74"/>
      <c r="J74">
        <v>0</v>
      </c>
      <c r="K74">
        <v>2</v>
      </c>
      <c r="L74" s="58"/>
      <c r="M74" s="242">
        <v>60</v>
      </c>
      <c r="N74" s="278" t="str">
        <f>'Student Details'!D72</f>
        <v xml:space="preserve"> 17EE411</v>
      </c>
      <c r="O74" s="278" t="str">
        <f>'Student Details'!E72</f>
        <v xml:space="preserve"> SUHAS T A</v>
      </c>
      <c r="P74" s="243">
        <f t="shared" si="9"/>
        <v>8</v>
      </c>
      <c r="Q74" s="273">
        <f t="shared" si="10"/>
        <v>0.8</v>
      </c>
      <c r="R74" s="266" t="str">
        <f t="shared" si="11"/>
        <v>Y</v>
      </c>
      <c r="S74" s="249">
        <f t="shared" si="12"/>
        <v>1</v>
      </c>
      <c r="T74" s="273">
        <f t="shared" si="13"/>
        <v>0.2</v>
      </c>
      <c r="U74" s="266" t="str">
        <f t="shared" si="14"/>
        <v>N</v>
      </c>
      <c r="V74" s="249">
        <f t="shared" si="15"/>
        <v>2</v>
      </c>
      <c r="W74" s="273">
        <f t="shared" si="16"/>
        <v>0.5</v>
      </c>
      <c r="X74" s="266" t="str">
        <f t="shared" si="17"/>
        <v>N</v>
      </c>
    </row>
    <row r="75" spans="2:24" s="64" customFormat="1" ht="20.100000000000001" customHeight="1">
      <c r="B75" s="263">
        <v>61</v>
      </c>
      <c r="C75" s="278" t="str">
        <f>'Student Details'!D73</f>
        <v xml:space="preserve"> 17EE412</v>
      </c>
      <c r="D75" s="278" t="str">
        <f>'Student Details'!E73</f>
        <v xml:space="preserve"> VARSHA</v>
      </c>
      <c r="E75">
        <v>5</v>
      </c>
      <c r="F75">
        <v>4</v>
      </c>
      <c r="G75">
        <v>10</v>
      </c>
      <c r="H75">
        <v>9</v>
      </c>
      <c r="I75">
        <v>9</v>
      </c>
      <c r="J75">
        <v>5</v>
      </c>
      <c r="K75">
        <v>4</v>
      </c>
      <c r="L75" s="58"/>
      <c r="M75" s="242">
        <v>61</v>
      </c>
      <c r="N75" s="278" t="str">
        <f>'Student Details'!D73</f>
        <v xml:space="preserve"> 17EE412</v>
      </c>
      <c r="O75" s="278" t="str">
        <f>'Student Details'!E73</f>
        <v xml:space="preserve"> VARSHA</v>
      </c>
      <c r="P75" s="243">
        <f t="shared" si="9"/>
        <v>15</v>
      </c>
      <c r="Q75" s="273">
        <f t="shared" si="10"/>
        <v>1</v>
      </c>
      <c r="R75" s="266" t="str">
        <f t="shared" si="11"/>
        <v>Y</v>
      </c>
      <c r="S75" s="249">
        <f t="shared" si="12"/>
        <v>22</v>
      </c>
      <c r="T75" s="273">
        <f t="shared" si="13"/>
        <v>0.88</v>
      </c>
      <c r="U75" s="266" t="str">
        <f t="shared" si="14"/>
        <v>Y</v>
      </c>
      <c r="V75" s="249">
        <f t="shared" si="15"/>
        <v>9</v>
      </c>
      <c r="W75" s="273">
        <f t="shared" si="16"/>
        <v>0.9</v>
      </c>
      <c r="X75" s="266" t="str">
        <f t="shared" si="17"/>
        <v>Y</v>
      </c>
    </row>
    <row r="76" spans="2:24" s="64" customFormat="1" ht="20.100000000000001" customHeight="1">
      <c r="B76" s="263"/>
      <c r="C76" s="260"/>
      <c r="D76" s="244"/>
      <c r="E76" s="243"/>
      <c r="F76" s="243"/>
      <c r="G76" s="243"/>
      <c r="H76" s="243"/>
      <c r="I76" s="243"/>
      <c r="J76" s="243"/>
      <c r="K76" s="243"/>
      <c r="L76" s="269"/>
      <c r="M76" s="242"/>
      <c r="N76" s="278"/>
      <c r="O76" s="278"/>
      <c r="P76" s="266"/>
      <c r="Q76" s="266"/>
      <c r="R76" s="264"/>
      <c r="S76" s="264"/>
      <c r="T76" s="264"/>
      <c r="U76" s="264"/>
      <c r="V76" s="264"/>
      <c r="W76" s="264"/>
      <c r="X76" s="264"/>
    </row>
    <row r="77" spans="2:24" s="64" customFormat="1" ht="20.100000000000001" customHeight="1">
      <c r="B77" s="432" t="s">
        <v>208</v>
      </c>
      <c r="C77" s="433"/>
      <c r="D77" s="433"/>
      <c r="E77" s="266">
        <f t="shared" ref="E77:K77" si="18">$B$75-(COUNTIF(E15:E75,""))</f>
        <v>60</v>
      </c>
      <c r="F77" s="266">
        <f t="shared" si="18"/>
        <v>58</v>
      </c>
      <c r="G77" s="266">
        <f t="shared" si="18"/>
        <v>60</v>
      </c>
      <c r="H77" s="266">
        <f t="shared" si="18"/>
        <v>53</v>
      </c>
      <c r="I77" s="266">
        <f t="shared" si="18"/>
        <v>49</v>
      </c>
      <c r="J77" s="266">
        <f t="shared" si="18"/>
        <v>55</v>
      </c>
      <c r="K77" s="266">
        <f t="shared" si="18"/>
        <v>55</v>
      </c>
      <c r="L77" s="277"/>
      <c r="M77" s="435" t="s">
        <v>208</v>
      </c>
      <c r="N77" s="433"/>
      <c r="O77" s="433"/>
      <c r="P77" s="435">
        <f>$B$75-COUNTIF(P15:P75,"NA")</f>
        <v>60</v>
      </c>
      <c r="Q77" s="435"/>
      <c r="R77" s="435"/>
      <c r="S77" s="435">
        <f>$B$75-COUNTIF(S15:S75,"NA")</f>
        <v>61</v>
      </c>
      <c r="T77" s="435"/>
      <c r="U77" s="435"/>
      <c r="V77" s="435">
        <f>$B$75-COUNTIF(V15:V75,"NA")</f>
        <v>55</v>
      </c>
      <c r="W77" s="435"/>
      <c r="X77" s="435"/>
    </row>
    <row r="78" spans="2:24" s="64" customFormat="1" ht="20.100000000000001" customHeight="1">
      <c r="B78" s="432" t="str">
        <f>UPPER("TOTAL MARKS QUESTIONS")</f>
        <v>TOTAL MARKS QUESTIONS</v>
      </c>
      <c r="C78" s="433"/>
      <c r="D78" s="433"/>
      <c r="E78" s="266">
        <f t="shared" ref="E78:K78" si="19">SUM(E15:E75)</f>
        <v>228</v>
      </c>
      <c r="F78" s="266">
        <f t="shared" si="19"/>
        <v>179</v>
      </c>
      <c r="G78" s="266">
        <f t="shared" si="19"/>
        <v>488</v>
      </c>
      <c r="H78" s="266">
        <f t="shared" si="19"/>
        <v>323</v>
      </c>
      <c r="I78" s="266">
        <f t="shared" si="19"/>
        <v>236</v>
      </c>
      <c r="J78" s="266">
        <f t="shared" si="19"/>
        <v>188</v>
      </c>
      <c r="K78" s="266">
        <f t="shared" si="19"/>
        <v>120</v>
      </c>
      <c r="L78" s="277"/>
      <c r="M78" s="435" t="str">
        <f>UPPER("Number of Students scoring above a target")</f>
        <v>NUMBER OF STUDENTS SCORING ABOVE A TARGET</v>
      </c>
      <c r="N78" s="433"/>
      <c r="O78" s="433"/>
      <c r="P78" s="435">
        <f>COUNTIF(R15:R75,"Y")</f>
        <v>54</v>
      </c>
      <c r="Q78" s="435"/>
      <c r="R78" s="435"/>
      <c r="S78" s="435">
        <f>COUNTIF(U15:U75,"Y")</f>
        <v>32</v>
      </c>
      <c r="T78" s="435"/>
      <c r="U78" s="435"/>
      <c r="V78" s="435">
        <f>COUNTIF(X15:X75,"Y")</f>
        <v>37</v>
      </c>
      <c r="W78" s="435"/>
      <c r="X78" s="435"/>
    </row>
    <row r="79" spans="2:24" s="64" customFormat="1" ht="34.5" customHeight="1">
      <c r="B79" s="432" t="s">
        <v>209</v>
      </c>
      <c r="C79" s="433"/>
      <c r="D79" s="433"/>
      <c r="E79" s="266">
        <f t="shared" ref="E79:K79" si="20">E77*E14</f>
        <v>300</v>
      </c>
      <c r="F79" s="266">
        <f t="shared" si="20"/>
        <v>290</v>
      </c>
      <c r="G79" s="266">
        <f t="shared" si="20"/>
        <v>600</v>
      </c>
      <c r="H79" s="266">
        <f t="shared" si="20"/>
        <v>530</v>
      </c>
      <c r="I79" s="266">
        <f t="shared" si="20"/>
        <v>490</v>
      </c>
      <c r="J79" s="266">
        <f t="shared" si="20"/>
        <v>330</v>
      </c>
      <c r="K79" s="266">
        <f t="shared" si="20"/>
        <v>220</v>
      </c>
      <c r="L79" s="277"/>
      <c r="M79" s="435" t="str">
        <f>UPPER("Percentage of Students scoring above a target")</f>
        <v>PERCENTAGE OF STUDENTS SCORING ABOVE A TARGET</v>
      </c>
      <c r="N79" s="433"/>
      <c r="O79" s="433"/>
      <c r="P79" s="431">
        <f>P78/P77</f>
        <v>0.9</v>
      </c>
      <c r="Q79" s="431"/>
      <c r="R79" s="431"/>
      <c r="S79" s="431">
        <f>S78/S77</f>
        <v>0.52459016393442626</v>
      </c>
      <c r="T79" s="431"/>
      <c r="U79" s="431"/>
      <c r="V79" s="431">
        <f>V78/V77</f>
        <v>0.67272727272727273</v>
      </c>
      <c r="W79" s="431"/>
      <c r="X79" s="431"/>
    </row>
    <row r="80" spans="2:24" s="64" customFormat="1" ht="20.100000000000001" customHeight="1">
      <c r="B80" s="432" t="s">
        <v>210</v>
      </c>
      <c r="C80" s="433"/>
      <c r="D80" s="433"/>
      <c r="E80" s="266" t="s">
        <v>369</v>
      </c>
      <c r="F80" s="266" t="s">
        <v>370</v>
      </c>
      <c r="G80" s="266" t="s">
        <v>369</v>
      </c>
      <c r="H80" s="266" t="s">
        <v>370</v>
      </c>
      <c r="I80" s="266" t="s">
        <v>370</v>
      </c>
      <c r="J80" s="266" t="s">
        <v>371</v>
      </c>
      <c r="K80" s="266" t="s">
        <v>371</v>
      </c>
      <c r="L80" s="277"/>
      <c r="M80" s="435" t="str">
        <f>UPPER("Overall Target")</f>
        <v>OVERALL TARGET</v>
      </c>
      <c r="N80" s="433"/>
      <c r="O80" s="433"/>
      <c r="P80" s="431">
        <f>'Student Details'!V13</f>
        <v>0.7</v>
      </c>
      <c r="Q80" s="431"/>
      <c r="R80" s="431"/>
      <c r="S80" s="431">
        <f>'Student Details'!V14</f>
        <v>0.7</v>
      </c>
      <c r="T80" s="431"/>
      <c r="U80" s="431"/>
      <c r="V80" s="431">
        <f>'Student Details'!V15</f>
        <v>0.7</v>
      </c>
      <c r="W80" s="431"/>
      <c r="X80" s="431"/>
    </row>
    <row r="81" spans="2:31" s="64" customFormat="1" ht="20.100000000000001" customHeight="1">
      <c r="B81" s="449" t="s">
        <v>211</v>
      </c>
      <c r="C81" s="433"/>
      <c r="D81" s="433"/>
      <c r="E81" s="266">
        <f t="shared" ref="E81:K81" si="21">IFERROR((E78/E79)*100,0)</f>
        <v>76</v>
      </c>
      <c r="F81" s="266">
        <f t="shared" si="21"/>
        <v>61.724137931034484</v>
      </c>
      <c r="G81" s="266">
        <f t="shared" si="21"/>
        <v>81.333333333333329</v>
      </c>
      <c r="H81" s="266">
        <f t="shared" si="21"/>
        <v>60.943396226415089</v>
      </c>
      <c r="I81" s="266">
        <f t="shared" si="21"/>
        <v>48.163265306122447</v>
      </c>
      <c r="J81" s="266">
        <f t="shared" si="21"/>
        <v>56.969696969696969</v>
      </c>
      <c r="K81" s="266">
        <f t="shared" si="21"/>
        <v>54.54545454545454</v>
      </c>
      <c r="L81" s="277"/>
      <c r="M81" s="435" t="str">
        <f>UPPER("Achievement (Y/N)")</f>
        <v>ACHIEVEMENT (Y/N)</v>
      </c>
      <c r="N81" s="433"/>
      <c r="O81" s="433"/>
      <c r="P81" s="435" t="str">
        <f>IF(P79&gt;=P80,"Y","N")</f>
        <v>Y</v>
      </c>
      <c r="Q81" s="435"/>
      <c r="R81" s="435"/>
      <c r="S81" s="435" t="str">
        <f>IF(S79&gt;=S80,"Y","N")</f>
        <v>N</v>
      </c>
      <c r="T81" s="435"/>
      <c r="U81" s="435"/>
      <c r="V81" s="435" t="str">
        <f>IF(V79&gt;=V80,"Y","N")</f>
        <v>N</v>
      </c>
      <c r="W81" s="435"/>
      <c r="X81" s="435"/>
    </row>
    <row r="82" spans="2:31" s="64" customFormat="1" ht="20.100000000000001" customHeight="1">
      <c r="B82" s="61"/>
      <c r="C82" s="277"/>
      <c r="D82" s="277"/>
      <c r="E82" s="277"/>
      <c r="F82" s="277"/>
      <c r="G82" s="277"/>
      <c r="H82" s="277"/>
      <c r="I82" s="277"/>
      <c r="J82" s="277"/>
      <c r="K82" s="60"/>
      <c r="L82" s="277"/>
      <c r="M82" s="60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</row>
    <row r="83" spans="2:31" s="64" customFormat="1" ht="20.100000000000001" customHeight="1">
      <c r="B83" s="61"/>
      <c r="C83" s="246" t="s">
        <v>212</v>
      </c>
      <c r="D83" s="248" t="s">
        <v>213</v>
      </c>
      <c r="E83" s="248" t="s">
        <v>214</v>
      </c>
      <c r="F83" s="277"/>
      <c r="G83" s="277"/>
      <c r="H83" s="277"/>
      <c r="I83" s="277"/>
      <c r="J83" s="277"/>
      <c r="K83" s="60"/>
      <c r="L83" s="277"/>
      <c r="M83" s="60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</row>
    <row r="84" spans="2:31" s="64" customFormat="1" ht="20.100000000000001" customHeight="1">
      <c r="B84" s="61"/>
      <c r="C84" s="246" t="s">
        <v>369</v>
      </c>
      <c r="D84" s="248">
        <f>P79*100</f>
        <v>90</v>
      </c>
      <c r="E84" s="248">
        <f>P80*100</f>
        <v>70</v>
      </c>
      <c r="F84" s="277"/>
      <c r="G84" s="277"/>
      <c r="H84" s="277"/>
      <c r="I84" s="277"/>
      <c r="J84" s="277"/>
      <c r="K84" s="60"/>
      <c r="L84" s="277"/>
      <c r="M84" s="60"/>
      <c r="N84" s="277"/>
      <c r="O84" s="277"/>
      <c r="P84" s="277"/>
      <c r="Q84" s="277"/>
      <c r="R84" s="277"/>
      <c r="S84" s="277"/>
      <c r="T84" s="276"/>
      <c r="U84" s="277"/>
      <c r="V84" s="277"/>
      <c r="W84" s="276"/>
      <c r="X84" s="276"/>
      <c r="Y84" s="276"/>
      <c r="Z84" s="276"/>
      <c r="AA84" s="276"/>
      <c r="AB84" s="276"/>
      <c r="AC84" s="276"/>
      <c r="AD84" s="276"/>
    </row>
    <row r="85" spans="2:31" s="64" customFormat="1" ht="20.100000000000001" customHeight="1">
      <c r="B85" s="61"/>
      <c r="C85" s="246" t="s">
        <v>370</v>
      </c>
      <c r="D85" s="248">
        <f>S79*100</f>
        <v>52.459016393442624</v>
      </c>
      <c r="E85" s="248">
        <f>S80*100</f>
        <v>70</v>
      </c>
      <c r="F85" s="277"/>
      <c r="G85" s="60"/>
      <c r="H85" s="277"/>
      <c r="I85" s="277"/>
      <c r="J85" s="277"/>
      <c r="K85" s="60"/>
      <c r="L85" s="277"/>
      <c r="M85" s="60"/>
      <c r="N85" s="277"/>
      <c r="O85" s="277"/>
      <c r="P85" s="60"/>
      <c r="Q85" s="277"/>
      <c r="R85" s="277"/>
      <c r="S85" s="277"/>
      <c r="T85" s="276"/>
      <c r="U85" s="277"/>
      <c r="V85" s="277"/>
      <c r="W85" s="276"/>
      <c r="X85" s="276"/>
      <c r="Y85" s="276"/>
      <c r="Z85" s="276"/>
      <c r="AA85" s="276"/>
      <c r="AB85" s="276"/>
      <c r="AC85" s="276"/>
      <c r="AD85" s="276"/>
    </row>
    <row r="86" spans="2:31" s="64" customFormat="1" ht="20.100000000000001" customHeight="1">
      <c r="B86" s="61"/>
      <c r="C86" s="246" t="s">
        <v>371</v>
      </c>
      <c r="D86" s="248">
        <f>V79*100</f>
        <v>67.272727272727266</v>
      </c>
      <c r="E86" s="248">
        <f>V80*100</f>
        <v>70</v>
      </c>
      <c r="F86" s="277"/>
      <c r="G86" s="60"/>
      <c r="H86" s="277"/>
      <c r="I86" s="277"/>
      <c r="J86" s="277"/>
      <c r="K86" s="60"/>
      <c r="L86" s="277"/>
      <c r="M86" s="60"/>
      <c r="N86" s="277"/>
      <c r="O86" s="277"/>
      <c r="P86" s="60"/>
      <c r="Q86" s="277"/>
      <c r="R86" s="277"/>
      <c r="S86" s="277"/>
      <c r="T86" s="276"/>
      <c r="U86" s="277"/>
      <c r="V86" s="277"/>
      <c r="W86" s="276"/>
      <c r="X86" s="276"/>
      <c r="Y86" s="276"/>
      <c r="Z86" s="276"/>
      <c r="AA86" s="276"/>
      <c r="AB86" s="276"/>
      <c r="AC86" s="276"/>
      <c r="AD86" s="276"/>
    </row>
    <row r="87" spans="2:31" s="64" customFormat="1" ht="20.100000000000001" customHeight="1">
      <c r="B87" s="61"/>
      <c r="C87" s="246" t="s">
        <v>372</v>
      </c>
      <c r="D87" s="248"/>
      <c r="E87" s="248"/>
      <c r="F87" s="277"/>
      <c r="G87" s="60"/>
      <c r="H87" s="277"/>
      <c r="I87" s="277"/>
      <c r="J87" s="277"/>
      <c r="K87" s="60"/>
      <c r="L87" s="277"/>
      <c r="M87" s="60"/>
      <c r="N87" s="277"/>
      <c r="O87" s="277"/>
      <c r="P87" s="60"/>
      <c r="Q87" s="277"/>
      <c r="R87" s="277"/>
      <c r="S87" s="277"/>
      <c r="T87" s="276"/>
      <c r="U87" s="277"/>
      <c r="V87" s="277"/>
      <c r="W87" s="276"/>
      <c r="X87" s="276"/>
      <c r="Y87" s="276"/>
      <c r="Z87" s="276"/>
      <c r="AA87" s="276"/>
      <c r="AB87" s="276"/>
      <c r="AC87" s="276"/>
      <c r="AD87" s="276"/>
    </row>
    <row r="88" spans="2:31" s="64" customFormat="1" ht="20.100000000000001" customHeight="1">
      <c r="B88" s="61"/>
      <c r="C88" s="246" t="s">
        <v>373</v>
      </c>
      <c r="D88" s="248"/>
      <c r="E88" s="248"/>
      <c r="F88" s="277"/>
      <c r="G88" s="60"/>
      <c r="H88" s="277"/>
      <c r="I88" s="277"/>
      <c r="J88" s="277"/>
      <c r="K88" s="60"/>
      <c r="L88" s="277"/>
      <c r="M88" s="60"/>
      <c r="N88" s="277"/>
      <c r="O88" s="277"/>
      <c r="P88" s="60"/>
      <c r="Q88" s="277"/>
      <c r="R88" s="277"/>
      <c r="S88" s="277"/>
      <c r="T88" s="276"/>
      <c r="U88" s="277"/>
      <c r="V88" s="277"/>
      <c r="W88" s="276"/>
      <c r="X88" s="276"/>
      <c r="Y88" s="276"/>
      <c r="Z88" s="276"/>
      <c r="AA88" s="276"/>
      <c r="AB88" s="276"/>
      <c r="AC88" s="276"/>
      <c r="AD88" s="276"/>
    </row>
    <row r="89" spans="2:31" s="64" customFormat="1" ht="20.100000000000001" customHeight="1">
      <c r="B89" s="61"/>
      <c r="C89" s="70"/>
      <c r="D89" s="70"/>
      <c r="E89" s="70"/>
      <c r="F89" s="277"/>
      <c r="G89" s="60"/>
      <c r="H89" s="277"/>
      <c r="I89" s="277"/>
      <c r="J89" s="277"/>
      <c r="K89" s="60"/>
      <c r="L89" s="277"/>
      <c r="M89" s="60"/>
      <c r="N89" s="277"/>
      <c r="O89" s="277"/>
      <c r="P89" s="60"/>
      <c r="Q89" s="277"/>
      <c r="R89" s="277"/>
      <c r="S89" s="277"/>
      <c r="T89" s="276"/>
      <c r="U89" s="277"/>
      <c r="V89" s="277"/>
      <c r="W89" s="276"/>
      <c r="X89" s="276"/>
      <c r="Y89" s="276"/>
      <c r="Z89" s="276"/>
      <c r="AA89" s="276"/>
      <c r="AB89" s="276"/>
      <c r="AC89" s="276"/>
      <c r="AD89" s="276"/>
    </row>
    <row r="90" spans="2:31" s="64" customFormat="1" ht="20.100000000000001" customHeight="1">
      <c r="B90" s="61"/>
      <c r="C90" s="70"/>
      <c r="D90" s="70"/>
      <c r="E90" s="107"/>
      <c r="F90" s="66"/>
      <c r="G90" s="123"/>
      <c r="H90" s="66"/>
      <c r="I90" s="66"/>
      <c r="J90" s="66"/>
      <c r="K90" s="123"/>
      <c r="L90" s="66"/>
      <c r="M90" s="96"/>
      <c r="N90" s="96"/>
      <c r="O90" s="276"/>
      <c r="P90" s="61"/>
      <c r="Q90" s="276"/>
      <c r="R90" s="276"/>
      <c r="S90" s="61"/>
      <c r="T90" s="65"/>
      <c r="U90" s="65"/>
      <c r="V90" s="276"/>
      <c r="W90" s="276"/>
      <c r="X90" s="276"/>
      <c r="Y90" s="276"/>
      <c r="Z90" s="276"/>
      <c r="AA90" s="276"/>
      <c r="AB90" s="276"/>
      <c r="AC90" s="276"/>
      <c r="AD90" s="276"/>
    </row>
    <row r="91" spans="2:31" s="64" customFormat="1" ht="20.100000000000001" customHeight="1">
      <c r="B91" s="61"/>
      <c r="C91" s="70"/>
      <c r="D91" s="70"/>
      <c r="E91" s="107"/>
      <c r="F91" s="66"/>
      <c r="G91" s="123"/>
      <c r="H91" s="66"/>
      <c r="I91" s="66"/>
      <c r="J91" s="66"/>
      <c r="K91" s="123"/>
      <c r="L91" s="66"/>
      <c r="M91" s="96"/>
      <c r="N91" s="96"/>
      <c r="O91" s="276"/>
      <c r="P91" s="61"/>
      <c r="Q91" s="276"/>
      <c r="R91" s="276"/>
      <c r="S91" s="276"/>
      <c r="T91" s="277"/>
      <c r="U91" s="277"/>
      <c r="V91" s="276"/>
      <c r="W91" s="277"/>
      <c r="X91" s="277"/>
      <c r="Y91" s="276"/>
      <c r="Z91" s="277"/>
      <c r="AA91" s="277"/>
      <c r="AB91" s="276"/>
      <c r="AC91" s="277"/>
      <c r="AD91" s="277"/>
      <c r="AE91" s="276"/>
    </row>
    <row r="92" spans="2:31" s="64" customFormat="1" ht="20.100000000000001" customHeight="1">
      <c r="B92" s="61"/>
      <c r="C92" s="70"/>
      <c r="D92" s="70"/>
      <c r="E92" s="107"/>
      <c r="F92" s="66"/>
      <c r="G92" s="123"/>
      <c r="H92" s="66"/>
      <c r="I92" s="66"/>
      <c r="J92" s="66"/>
      <c r="K92" s="123"/>
      <c r="L92" s="66"/>
      <c r="M92" s="96"/>
      <c r="N92" s="96"/>
      <c r="O92" s="276"/>
      <c r="P92" s="61"/>
      <c r="Q92" s="276"/>
      <c r="R92" s="276"/>
      <c r="S92" s="276"/>
      <c r="T92" s="277"/>
      <c r="U92" s="277"/>
      <c r="V92" s="277"/>
      <c r="W92" s="277"/>
      <c r="X92" s="277"/>
      <c r="Y92" s="276"/>
      <c r="Z92" s="277"/>
      <c r="AA92" s="277"/>
      <c r="AB92" s="276"/>
      <c r="AC92" s="277"/>
      <c r="AD92" s="277"/>
    </row>
    <row r="93" spans="2:31" s="64" customFormat="1" ht="20.100000000000001" customHeight="1">
      <c r="B93" s="61"/>
      <c r="C93" s="70"/>
      <c r="D93" s="70"/>
      <c r="E93" s="107"/>
      <c r="F93" s="66"/>
      <c r="G93" s="123"/>
      <c r="H93" s="66"/>
      <c r="I93" s="66"/>
      <c r="J93" s="66"/>
      <c r="K93" s="123"/>
      <c r="L93" s="66"/>
      <c r="M93" s="96"/>
      <c r="N93" s="96"/>
      <c r="O93" s="276"/>
      <c r="P93" s="61"/>
      <c r="Q93" s="276"/>
      <c r="R93" s="276"/>
      <c r="S93" s="276"/>
      <c r="T93" s="277"/>
      <c r="U93" s="277"/>
      <c r="V93" s="276"/>
      <c r="W93" s="277"/>
      <c r="X93" s="277"/>
      <c r="Y93" s="276"/>
      <c r="Z93" s="277"/>
      <c r="AA93" s="277"/>
      <c r="AB93" s="276"/>
      <c r="AC93" s="277"/>
      <c r="AD93" s="277"/>
    </row>
    <row r="94" spans="2:31" s="76" customFormat="1" ht="20.100000000000001" customHeight="1">
      <c r="B94" s="61"/>
      <c r="C94" s="70"/>
      <c r="D94" s="70"/>
      <c r="E94" s="68"/>
      <c r="F94" s="276"/>
      <c r="G94" s="61"/>
      <c r="H94" s="276"/>
      <c r="I94" s="276"/>
      <c r="J94" s="276"/>
      <c r="K94" s="61"/>
      <c r="L94" s="276"/>
      <c r="M94" s="61"/>
      <c r="N94" s="61"/>
      <c r="O94" s="276"/>
      <c r="P94" s="61"/>
      <c r="Q94" s="276"/>
      <c r="R94" s="276"/>
      <c r="S94" s="276"/>
      <c r="T94" s="277"/>
      <c r="U94" s="277"/>
      <c r="V94" s="276"/>
      <c r="W94" s="277"/>
      <c r="X94" s="277"/>
      <c r="Y94" s="276"/>
      <c r="Z94" s="277"/>
      <c r="AA94" s="277"/>
      <c r="AB94" s="276"/>
      <c r="AC94" s="277"/>
      <c r="AD94" s="277"/>
    </row>
    <row r="95" spans="2:31" s="76" customFormat="1" ht="20.100000000000001" customHeight="1">
      <c r="B95" s="61"/>
      <c r="C95" s="70"/>
      <c r="D95" s="70"/>
      <c r="E95" s="70"/>
      <c r="F95" s="67"/>
      <c r="G95" s="96"/>
      <c r="H95" s="67"/>
      <c r="I95" s="67"/>
      <c r="J95" s="67"/>
      <c r="K95" s="96"/>
      <c r="L95" s="67"/>
      <c r="M95" s="61"/>
      <c r="N95" s="61"/>
      <c r="O95" s="276"/>
      <c r="P95" s="61"/>
      <c r="Q95" s="276"/>
      <c r="R95" s="276"/>
      <c r="S95" s="276"/>
      <c r="T95" s="277"/>
      <c r="U95" s="277"/>
      <c r="V95" s="276"/>
      <c r="W95" s="277"/>
      <c r="X95" s="277"/>
      <c r="Y95" s="276"/>
      <c r="Z95" s="277"/>
      <c r="AA95" s="277"/>
      <c r="AB95" s="276"/>
      <c r="AC95" s="277"/>
      <c r="AD95" s="277"/>
    </row>
    <row r="96" spans="2:31" s="76" customFormat="1" ht="20.100000000000001" customHeight="1">
      <c r="B96" s="61"/>
      <c r="C96" s="70"/>
      <c r="D96" s="70"/>
      <c r="E96" s="277"/>
      <c r="F96" s="67"/>
      <c r="G96" s="96"/>
      <c r="H96" s="67"/>
      <c r="I96" s="67"/>
      <c r="J96" s="67"/>
      <c r="K96" s="96"/>
      <c r="L96" s="67"/>
      <c r="M96" s="61"/>
      <c r="N96" s="61"/>
      <c r="O96" s="276"/>
      <c r="P96" s="61"/>
      <c r="S96" s="61"/>
    </row>
    <row r="97" spans="2:30" s="76" customFormat="1" ht="20.100000000000001" customHeight="1">
      <c r="B97" s="61"/>
      <c r="C97" s="70"/>
      <c r="D97" s="70"/>
      <c r="E97" s="70"/>
      <c r="F97" s="67"/>
      <c r="G97" s="96"/>
      <c r="H97" s="67"/>
      <c r="I97" s="67"/>
      <c r="J97" s="67"/>
      <c r="K97" s="96"/>
      <c r="L97" s="67"/>
      <c r="M97" s="61"/>
      <c r="N97" s="61"/>
      <c r="O97" s="276"/>
      <c r="P97" s="61"/>
      <c r="S97" s="61"/>
    </row>
    <row r="98" spans="2:30" s="76" customFormat="1" ht="20.100000000000001" customHeight="1">
      <c r="B98" s="61"/>
      <c r="C98" s="70"/>
      <c r="D98" s="70"/>
      <c r="E98" s="70"/>
      <c r="F98" s="67"/>
      <c r="G98" s="96"/>
      <c r="H98" s="67"/>
      <c r="I98" s="67"/>
      <c r="J98" s="67"/>
      <c r="K98" s="96"/>
      <c r="L98" s="67"/>
      <c r="M98" s="61"/>
      <c r="N98" s="61"/>
      <c r="O98" s="276"/>
      <c r="P98" s="61"/>
      <c r="S98" s="61"/>
    </row>
    <row r="99" spans="2:30" s="76" customFormat="1" ht="20.100000000000001" customHeight="1">
      <c r="B99" s="61"/>
      <c r="C99" s="70"/>
      <c r="D99" s="70"/>
      <c r="E99" s="70"/>
      <c r="F99" s="67"/>
      <c r="G99" s="96"/>
      <c r="H99" s="67"/>
      <c r="I99" s="67"/>
      <c r="J99" s="67"/>
      <c r="K99" s="96"/>
      <c r="L99" s="67"/>
      <c r="M99" s="61"/>
      <c r="N99" s="61"/>
      <c r="O99" s="276"/>
      <c r="P99" s="61"/>
      <c r="S99" s="61"/>
    </row>
    <row r="100" spans="2:30" s="76" customFormat="1" ht="20.100000000000001" customHeight="1">
      <c r="B100" s="61"/>
      <c r="C100" s="68"/>
      <c r="D100" s="68"/>
      <c r="E100" s="68"/>
      <c r="G100" s="61"/>
      <c r="K100" s="61"/>
      <c r="M100" s="61"/>
      <c r="N100" s="61"/>
      <c r="P100" s="61"/>
      <c r="S100" s="61"/>
      <c r="AA100" s="78"/>
      <c r="AB100" s="78"/>
      <c r="AC100" s="78"/>
      <c r="AD100" s="78"/>
    </row>
    <row r="101" spans="2:30" s="76" customFormat="1" ht="20.100000000000001" customHeight="1">
      <c r="B101" s="61"/>
      <c r="C101" s="68"/>
      <c r="D101" s="68"/>
      <c r="E101" s="68"/>
      <c r="G101" s="61"/>
      <c r="K101" s="61"/>
      <c r="M101" s="61"/>
      <c r="N101" s="61"/>
      <c r="P101" s="61"/>
      <c r="S101" s="61"/>
      <c r="AA101" s="78"/>
      <c r="AB101" s="78"/>
      <c r="AC101" s="78"/>
      <c r="AD101" s="78"/>
    </row>
    <row r="102" spans="2:30" ht="20.100000000000001" customHeight="1">
      <c r="C102" s="73"/>
      <c r="D102" s="73"/>
      <c r="E102" s="74"/>
      <c r="AA102" s="78"/>
      <c r="AB102" s="78"/>
      <c r="AC102" s="78"/>
      <c r="AD102" s="78"/>
    </row>
    <row r="103" spans="2:30" ht="20.100000000000001" customHeight="1">
      <c r="C103" s="73"/>
      <c r="D103" s="73"/>
      <c r="E103" s="74"/>
    </row>
    <row r="104" spans="2:30" ht="20.100000000000001" customHeight="1">
      <c r="C104" s="73"/>
      <c r="D104" s="73"/>
      <c r="E104" s="74"/>
    </row>
    <row r="105" spans="2:30" ht="20.100000000000001" customHeight="1">
      <c r="C105" s="73"/>
      <c r="D105" s="73"/>
      <c r="E105" s="74"/>
    </row>
    <row r="106" spans="2:30" ht="20.100000000000001" customHeight="1">
      <c r="C106" s="73"/>
      <c r="D106" s="73"/>
    </row>
  </sheetData>
  <mergeCells count="56">
    <mergeCell ref="B81:D81"/>
    <mergeCell ref="P81:R81"/>
    <mergeCell ref="S81:U81"/>
    <mergeCell ref="V81:X81"/>
    <mergeCell ref="M81:O81"/>
    <mergeCell ref="B80:D80"/>
    <mergeCell ref="P80:R80"/>
    <mergeCell ref="S80:U80"/>
    <mergeCell ref="V80:X80"/>
    <mergeCell ref="M80:O80"/>
    <mergeCell ref="P12:R12"/>
    <mergeCell ref="P13:P14"/>
    <mergeCell ref="S12:U12"/>
    <mergeCell ref="S13:S14"/>
    <mergeCell ref="V12:X12"/>
    <mergeCell ref="V13:V14"/>
    <mergeCell ref="M11:M14"/>
    <mergeCell ref="B7:D7"/>
    <mergeCell ref="B11:B14"/>
    <mergeCell ref="C11:C14"/>
    <mergeCell ref="D11:D14"/>
    <mergeCell ref="B8:F8"/>
    <mergeCell ref="B9:F9"/>
    <mergeCell ref="E11:F11"/>
    <mergeCell ref="J11:K11"/>
    <mergeCell ref="B77:D77"/>
    <mergeCell ref="P77:R77"/>
    <mergeCell ref="S77:U77"/>
    <mergeCell ref="V77:X77"/>
    <mergeCell ref="M77:O77"/>
    <mergeCell ref="B78:D78"/>
    <mergeCell ref="P78:R78"/>
    <mergeCell ref="S78:U78"/>
    <mergeCell ref="V78:X78"/>
    <mergeCell ref="M78:O78"/>
    <mergeCell ref="B79:D79"/>
    <mergeCell ref="P79:R79"/>
    <mergeCell ref="S79:U79"/>
    <mergeCell ref="V79:X79"/>
    <mergeCell ref="M79:O79"/>
    <mergeCell ref="P11:X11"/>
    <mergeCell ref="A1:K1"/>
    <mergeCell ref="A2:K2"/>
    <mergeCell ref="A10:K10"/>
    <mergeCell ref="H8:K8"/>
    <mergeCell ref="H9:K9"/>
    <mergeCell ref="L1:Y1"/>
    <mergeCell ref="L2:Y2"/>
    <mergeCell ref="L10:Y10"/>
    <mergeCell ref="M7:O7"/>
    <mergeCell ref="M8:O8"/>
    <mergeCell ref="M9:O9"/>
    <mergeCell ref="Q8:S8"/>
    <mergeCell ref="Q9:S9"/>
    <mergeCell ref="N11:N14"/>
    <mergeCell ref="O11:O14"/>
  </mergeCells>
  <pageMargins left="0" right="0.2" top="0.5" bottom="0.5" header="0.3" footer="0.3"/>
  <pageSetup paperSize="9" scale="85" orientation="landscape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I105"/>
  <sheetViews>
    <sheetView zoomScale="85" zoomScaleNormal="85" zoomScaleSheetLayoutView="100" workbookViewId="0">
      <pane ySplit="14" topLeftCell="A78" activePane="bottomLeft" state="frozen"/>
      <selection pane="bottomLeft" activeCell="I16" sqref="I16"/>
    </sheetView>
  </sheetViews>
  <sheetFormatPr defaultColWidth="18.28515625" defaultRowHeight="15"/>
  <cols>
    <col min="1" max="1" width="7.5703125" style="79" customWidth="1"/>
    <col min="2" max="2" width="7.7109375" style="61" customWidth="1"/>
    <col min="3" max="3" width="13.7109375" style="79" customWidth="1"/>
    <col min="4" max="4" width="35.7109375" style="79" customWidth="1"/>
    <col min="5" max="6" width="8.28515625" style="79" customWidth="1"/>
    <col min="7" max="7" width="8.28515625" style="61" customWidth="1"/>
    <col min="8" max="8" width="8.28515625" style="79" customWidth="1"/>
    <col min="9" max="9" width="7.7109375" style="79" customWidth="1"/>
    <col min="10" max="10" width="7.7109375" style="61" customWidth="1"/>
    <col min="11" max="11" width="13.7109375" style="79" customWidth="1"/>
    <col min="12" max="12" width="35.7109375" style="79" customWidth="1"/>
    <col min="13" max="13" width="10.7109375" style="79" customWidth="1"/>
    <col min="14" max="14" width="10.7109375" style="61" customWidth="1"/>
    <col min="15" max="15" width="10.7109375" style="79" customWidth="1"/>
    <col min="16" max="17" width="10.7109375" style="61" customWidth="1"/>
    <col min="18" max="22" width="10.7109375" style="79" customWidth="1"/>
    <col min="23" max="26" width="20.7109375" style="79" customWidth="1"/>
    <col min="27" max="16384" width="18.28515625" style="80"/>
  </cols>
  <sheetData>
    <row r="1" spans="1:35" s="76" customFormat="1" ht="20.100000000000001" customHeight="1">
      <c r="A1" s="438" t="s">
        <v>191</v>
      </c>
      <c r="B1" s="439"/>
      <c r="C1" s="439"/>
      <c r="D1" s="439"/>
      <c r="E1" s="439"/>
      <c r="F1" s="439"/>
      <c r="G1" s="439"/>
      <c r="H1" s="439"/>
      <c r="I1" s="445" t="s">
        <v>191</v>
      </c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</row>
    <row r="2" spans="1:35" s="76" customFormat="1" ht="20.100000000000001" customHeight="1">
      <c r="A2" s="438" t="s">
        <v>192</v>
      </c>
      <c r="B2" s="439"/>
      <c r="C2" s="439"/>
      <c r="D2" s="439"/>
      <c r="E2" s="439"/>
      <c r="F2" s="439"/>
      <c r="G2" s="439"/>
      <c r="H2" s="439"/>
      <c r="I2" s="445" t="s">
        <v>192</v>
      </c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</row>
    <row r="3" spans="1:35" s="76" customFormat="1" ht="20.100000000000001" customHeight="1">
      <c r="B3" s="61"/>
      <c r="G3" s="61"/>
      <c r="J3" s="61"/>
      <c r="N3" s="61"/>
      <c r="P3" s="61"/>
      <c r="Q3" s="61"/>
    </row>
    <row r="4" spans="1:35" s="76" customFormat="1" ht="20.100000000000001" customHeight="1">
      <c r="B4" s="61"/>
      <c r="G4" s="61"/>
      <c r="J4" s="61"/>
      <c r="N4" s="61"/>
      <c r="P4" s="61"/>
      <c r="Q4" s="61"/>
    </row>
    <row r="5" spans="1:35" s="76" customFormat="1" ht="20.100000000000001" customHeight="1">
      <c r="B5" s="61"/>
      <c r="G5" s="61"/>
      <c r="J5" s="61"/>
      <c r="N5" s="61"/>
      <c r="P5" s="61"/>
      <c r="Q5" s="61"/>
    </row>
    <row r="6" spans="1:35" s="76" customFormat="1" ht="20.100000000000001" customHeight="1">
      <c r="B6" s="61"/>
      <c r="G6" s="61"/>
      <c r="J6" s="61"/>
      <c r="N6" s="61"/>
      <c r="P6" s="61"/>
      <c r="Q6" s="61"/>
    </row>
    <row r="7" spans="1:35" s="76" customFormat="1" ht="20.100000000000001" customHeight="1">
      <c r="A7" s="65"/>
      <c r="B7" s="444" t="s">
        <v>374</v>
      </c>
      <c r="C7" s="443"/>
      <c r="D7" s="443"/>
      <c r="E7" s="269"/>
      <c r="F7" s="269"/>
      <c r="G7" s="261"/>
      <c r="H7" s="261"/>
      <c r="I7" s="261"/>
      <c r="J7" s="444" t="s">
        <v>374</v>
      </c>
      <c r="K7" s="443"/>
      <c r="L7" s="443"/>
      <c r="M7" s="269"/>
      <c r="N7" s="261"/>
      <c r="O7" s="261"/>
      <c r="P7" s="261"/>
      <c r="Q7" s="261"/>
      <c r="R7" s="261"/>
      <c r="S7" s="261"/>
    </row>
    <row r="8" spans="1:35" s="76" customFormat="1" ht="20.100000000000001" customHeight="1">
      <c r="A8" s="262"/>
      <c r="B8" s="444" t="s">
        <v>194</v>
      </c>
      <c r="C8" s="443"/>
      <c r="D8" s="443"/>
      <c r="E8" s="443"/>
      <c r="F8" s="443"/>
      <c r="G8" s="443"/>
      <c r="H8" s="443"/>
      <c r="I8" s="261"/>
      <c r="J8" s="447" t="s">
        <v>194</v>
      </c>
      <c r="K8" s="448"/>
      <c r="L8" s="448"/>
      <c r="M8" s="261"/>
      <c r="N8" s="444" t="s">
        <v>206</v>
      </c>
      <c r="O8" s="443"/>
      <c r="P8" s="443"/>
      <c r="Q8" s="269"/>
      <c r="R8" s="269"/>
      <c r="S8" s="269"/>
      <c r="T8" s="261"/>
      <c r="U8" s="261"/>
      <c r="V8" s="261"/>
      <c r="W8" s="261"/>
    </row>
    <row r="9" spans="1:35" s="76" customFormat="1" ht="20.100000000000001" customHeight="1">
      <c r="A9" s="262"/>
      <c r="B9" s="444" t="s">
        <v>195</v>
      </c>
      <c r="C9" s="443"/>
      <c r="D9" s="443"/>
      <c r="E9" s="443"/>
      <c r="F9" s="443"/>
      <c r="G9" s="443"/>
      <c r="H9" s="443"/>
      <c r="I9" s="261"/>
      <c r="J9" s="444" t="s">
        <v>195</v>
      </c>
      <c r="K9" s="443"/>
      <c r="L9" s="443"/>
      <c r="M9" s="261"/>
      <c r="N9" s="444" t="s">
        <v>207</v>
      </c>
      <c r="O9" s="443"/>
      <c r="P9" s="443"/>
      <c r="Q9" s="261"/>
      <c r="R9" s="261"/>
      <c r="S9" s="261"/>
      <c r="T9" s="261"/>
      <c r="U9" s="261"/>
      <c r="V9" s="261"/>
      <c r="W9" s="261"/>
    </row>
    <row r="10" spans="1:35" s="76" customFormat="1" ht="20.100000000000001" customHeight="1">
      <c r="A10" s="440" t="s">
        <v>222</v>
      </c>
      <c r="B10" s="441"/>
      <c r="C10" s="441"/>
      <c r="D10" s="441"/>
      <c r="E10" s="441"/>
      <c r="F10" s="441"/>
      <c r="G10" s="441"/>
      <c r="H10" s="441"/>
      <c r="I10" s="446" t="s">
        <v>222</v>
      </c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</row>
    <row r="11" spans="1:35" s="76" customFormat="1" ht="20.100000000000001" customHeight="1">
      <c r="B11" s="436" t="s">
        <v>196</v>
      </c>
      <c r="C11" s="432" t="s">
        <v>47</v>
      </c>
      <c r="D11" s="432" t="s">
        <v>197</v>
      </c>
      <c r="E11" s="264" t="s">
        <v>198</v>
      </c>
      <c r="F11" s="266" t="s">
        <v>199</v>
      </c>
      <c r="G11" s="264" t="s">
        <v>200</v>
      </c>
      <c r="H11" s="264" t="s">
        <v>201</v>
      </c>
      <c r="I11" s="277"/>
      <c r="J11" s="432" t="s">
        <v>196</v>
      </c>
      <c r="K11" s="435" t="s">
        <v>47</v>
      </c>
      <c r="L11" s="435" t="s">
        <v>46</v>
      </c>
      <c r="M11" s="432" t="s">
        <v>202</v>
      </c>
      <c r="N11" s="433"/>
      <c r="O11" s="433"/>
      <c r="P11" s="433"/>
      <c r="Q11" s="433"/>
      <c r="R11" s="433"/>
      <c r="S11" s="433"/>
      <c r="T11" s="433"/>
      <c r="U11" s="433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6"/>
    </row>
    <row r="12" spans="1:35" s="76" customFormat="1" ht="20.100000000000001" customHeight="1">
      <c r="B12" s="437"/>
      <c r="C12" s="433"/>
      <c r="D12" s="433"/>
      <c r="E12" s="266" t="s">
        <v>371</v>
      </c>
      <c r="F12" s="266" t="s">
        <v>372</v>
      </c>
      <c r="G12" s="266" t="s">
        <v>372</v>
      </c>
      <c r="H12" s="266" t="s">
        <v>373</v>
      </c>
      <c r="I12" s="277"/>
      <c r="J12" s="433"/>
      <c r="K12" s="433"/>
      <c r="L12" s="433"/>
      <c r="M12" s="435" t="s">
        <v>371</v>
      </c>
      <c r="N12" s="433"/>
      <c r="O12" s="433"/>
      <c r="P12" s="435" t="s">
        <v>372</v>
      </c>
      <c r="Q12" s="433"/>
      <c r="R12" s="433"/>
      <c r="S12" s="435" t="s">
        <v>373</v>
      </c>
      <c r="T12" s="433"/>
      <c r="U12" s="433"/>
      <c r="V12" s="277"/>
      <c r="W12" s="277"/>
      <c r="X12" s="277"/>
      <c r="Y12" s="277"/>
      <c r="Z12" s="277"/>
      <c r="AA12" s="277"/>
      <c r="AB12" s="277"/>
      <c r="AC12" s="276"/>
      <c r="AD12" s="277"/>
      <c r="AE12" s="277"/>
      <c r="AF12" s="276"/>
      <c r="AG12" s="277"/>
      <c r="AH12" s="277"/>
      <c r="AI12" s="276"/>
    </row>
    <row r="13" spans="1:35" s="76" customFormat="1" ht="20.100000000000001" customHeight="1">
      <c r="B13" s="437"/>
      <c r="C13" s="433"/>
      <c r="D13" s="433"/>
      <c r="E13" s="266" t="s">
        <v>5</v>
      </c>
      <c r="F13" s="266" t="s">
        <v>5</v>
      </c>
      <c r="G13" s="266" t="s">
        <v>5</v>
      </c>
      <c r="H13" s="266" t="s">
        <v>5</v>
      </c>
      <c r="I13" s="277"/>
      <c r="J13" s="433"/>
      <c r="K13" s="433"/>
      <c r="L13" s="433"/>
      <c r="M13" s="435" t="s">
        <v>203</v>
      </c>
      <c r="N13" s="266" t="s">
        <v>204</v>
      </c>
      <c r="O13" s="266" t="s">
        <v>205</v>
      </c>
      <c r="P13" s="435" t="s">
        <v>203</v>
      </c>
      <c r="Q13" s="266" t="s">
        <v>204</v>
      </c>
      <c r="R13" s="266" t="s">
        <v>205</v>
      </c>
      <c r="S13" s="435" t="s">
        <v>203</v>
      </c>
      <c r="T13" s="264" t="s">
        <v>204</v>
      </c>
      <c r="U13" s="264" t="s">
        <v>205</v>
      </c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</row>
    <row r="14" spans="1:35" s="64" customFormat="1" ht="20.100000000000001" customHeight="1">
      <c r="B14" s="437"/>
      <c r="C14" s="433"/>
      <c r="D14" s="433"/>
      <c r="E14" s="243">
        <v>6</v>
      </c>
      <c r="F14" s="243">
        <v>9</v>
      </c>
      <c r="G14" s="243">
        <v>6</v>
      </c>
      <c r="H14" s="243">
        <v>4</v>
      </c>
      <c r="I14" s="277"/>
      <c r="J14" s="433"/>
      <c r="K14" s="433"/>
      <c r="L14" s="433"/>
      <c r="M14" s="433"/>
      <c r="N14" s="266">
        <v>100</v>
      </c>
      <c r="O14" s="273">
        <f>'Student Details'!U15</f>
        <v>0.6</v>
      </c>
      <c r="P14" s="433"/>
      <c r="Q14" s="266">
        <v>100</v>
      </c>
      <c r="R14" s="273">
        <f>'Student Details'!U16</f>
        <v>0.6</v>
      </c>
      <c r="S14" s="433"/>
      <c r="T14" s="266">
        <v>100</v>
      </c>
      <c r="U14" s="274">
        <f>'Student Details'!U17</f>
        <v>0.6</v>
      </c>
      <c r="V14" s="277"/>
      <c r="W14" s="277"/>
      <c r="X14" s="276"/>
      <c r="Y14" s="277"/>
      <c r="Z14" s="277"/>
      <c r="AA14" s="276"/>
      <c r="AB14" s="276"/>
      <c r="AC14" s="277"/>
      <c r="AD14" s="276"/>
      <c r="AE14" s="276"/>
      <c r="AF14" s="277"/>
      <c r="AG14" s="276"/>
      <c r="AH14" s="276"/>
      <c r="AI14" s="276"/>
    </row>
    <row r="15" spans="1:35" s="64" customFormat="1" ht="20.100000000000001" customHeight="1">
      <c r="B15" s="263">
        <v>1</v>
      </c>
      <c r="C15" s="244" t="str">
        <f>'Student Details'!D13</f>
        <v xml:space="preserve"> 14EE029</v>
      </c>
      <c r="D15" s="244" t="str">
        <f>'Student Details'!E13</f>
        <v xml:space="preserve"> VARUN K R</v>
      </c>
      <c r="E15"/>
      <c r="F15">
        <v>6</v>
      </c>
      <c r="G15"/>
      <c r="H15"/>
      <c r="I15" s="58"/>
      <c r="J15" s="242">
        <v>1</v>
      </c>
      <c r="K15" s="278" t="str">
        <f>'Student Details'!D13</f>
        <v xml:space="preserve"> 14EE029</v>
      </c>
      <c r="L15" s="278" t="str">
        <f>'Student Details'!E13</f>
        <v xml:space="preserve"> VARUN K R</v>
      </c>
      <c r="M15" s="250" t="str">
        <f t="shared" ref="M15:M46" si="0">IF(SUM(E15)=0,"NA",SUM(E15))</f>
        <v>NA</v>
      </c>
      <c r="N15" s="274" t="str">
        <f t="shared" ref="N15:N46" si="1">IF(M15="NA","NA",IF(M15/(SUM(IF(E15&gt;0,$E$14,0)))=0,"",M15/(SUM(IF(E15&gt;0,$E$14,0)))))</f>
        <v>NA</v>
      </c>
      <c r="O15" s="264" t="str">
        <f t="shared" ref="O15:O46" si="2">IF(N15="NA","NA",IF(N15="","",IF(N15&gt;=$O$14,"Y","N")))</f>
        <v>NA</v>
      </c>
      <c r="P15" s="249">
        <f t="shared" ref="P15:P46" si="3">IF(SUM(F15,G15)=0,"NA",SUM(F15,G15))</f>
        <v>6</v>
      </c>
      <c r="Q15" s="274">
        <f t="shared" ref="Q15:Q46" si="4">IF(P15="NA","NA",IF(P15/(SUM(IF(F15&gt;0,$F$14,0),IF(G15&gt;0,$G$14,0)))=0,"",P15/(SUM(IF(F15&gt;0,$F$14,0),IF(G15&gt;0,$G$14,0)))))</f>
        <v>0.66666666666666663</v>
      </c>
      <c r="R15" s="264" t="str">
        <f t="shared" ref="R15:R46" si="5">IF(Q15="NA","NA",IF(Q15="","",IF(Q15&gt;=$R$14,"Y","N")))</f>
        <v>Y</v>
      </c>
      <c r="S15" s="249" t="str">
        <f t="shared" ref="S15:S46" si="6">IF(SUM(H15)=0,"NA",SUM(H15))</f>
        <v>NA</v>
      </c>
      <c r="T15" s="274" t="str">
        <f t="shared" ref="T15:T46" si="7">IF(S15="NA","NA",IF(S15/(SUM(IF(H15&gt;0,$H$14,0)))=0,"",S15/(SUM(IF(H15&gt;0,$H$14,0)))))</f>
        <v>NA</v>
      </c>
      <c r="U15" s="264" t="str">
        <f t="shared" ref="U15:U46" si="8">IF(T15="NA","NA",IF(T15="","",IF(T15&gt;=$U$14,"Y","N")))</f>
        <v>NA</v>
      </c>
    </row>
    <row r="16" spans="1:35" s="64" customFormat="1" ht="20.100000000000001" customHeight="1">
      <c r="B16" s="263">
        <v>2</v>
      </c>
      <c r="C16" s="244" t="str">
        <f>'Student Details'!D14</f>
        <v xml:space="preserve"> 15EE032</v>
      </c>
      <c r="D16" s="244" t="str">
        <f>'Student Details'!E14</f>
        <v xml:space="preserve"> PUNEETH R</v>
      </c>
      <c r="E16">
        <v>1</v>
      </c>
      <c r="F16">
        <v>5</v>
      </c>
      <c r="G16"/>
      <c r="H16">
        <v>2</v>
      </c>
      <c r="I16" s="58"/>
      <c r="J16" s="242">
        <v>2</v>
      </c>
      <c r="K16" s="278" t="str">
        <f>'Student Details'!D14</f>
        <v xml:space="preserve"> 15EE032</v>
      </c>
      <c r="L16" s="278" t="str">
        <f>'Student Details'!E14</f>
        <v xml:space="preserve"> PUNEETH R</v>
      </c>
      <c r="M16" s="250">
        <f t="shared" si="0"/>
        <v>1</v>
      </c>
      <c r="N16" s="274">
        <f t="shared" si="1"/>
        <v>0.16666666666666666</v>
      </c>
      <c r="O16" s="264" t="str">
        <f t="shared" si="2"/>
        <v>N</v>
      </c>
      <c r="P16" s="249">
        <f t="shared" si="3"/>
        <v>5</v>
      </c>
      <c r="Q16" s="274">
        <f t="shared" si="4"/>
        <v>0.55555555555555558</v>
      </c>
      <c r="R16" s="264" t="str">
        <f t="shared" si="5"/>
        <v>N</v>
      </c>
      <c r="S16" s="249">
        <f t="shared" si="6"/>
        <v>2</v>
      </c>
      <c r="T16" s="274">
        <f t="shared" si="7"/>
        <v>0.5</v>
      </c>
      <c r="U16" s="264" t="str">
        <f t="shared" si="8"/>
        <v>N</v>
      </c>
    </row>
    <row r="17" spans="2:21" s="64" customFormat="1" ht="20.100000000000001" customHeight="1">
      <c r="B17" s="263">
        <v>3</v>
      </c>
      <c r="C17" s="278" t="str">
        <f>'Student Details'!D15</f>
        <v xml:space="preserve"> 16EE004</v>
      </c>
      <c r="D17" s="278" t="str">
        <f>'Student Details'!E15</f>
        <v xml:space="preserve"> ANIL S BARKI</v>
      </c>
      <c r="E17">
        <v>1</v>
      </c>
      <c r="F17">
        <v>5</v>
      </c>
      <c r="G17"/>
      <c r="H17">
        <v>3</v>
      </c>
      <c r="I17" s="58"/>
      <c r="J17" s="242">
        <v>3</v>
      </c>
      <c r="K17" s="278" t="str">
        <f>'Student Details'!D15</f>
        <v xml:space="preserve"> 16EE004</v>
      </c>
      <c r="L17" s="278" t="str">
        <f>'Student Details'!E15</f>
        <v xml:space="preserve"> ANIL S BARKI</v>
      </c>
      <c r="M17" s="250">
        <f t="shared" si="0"/>
        <v>1</v>
      </c>
      <c r="N17" s="274">
        <f t="shared" si="1"/>
        <v>0.16666666666666666</v>
      </c>
      <c r="O17" s="264" t="str">
        <f t="shared" si="2"/>
        <v>N</v>
      </c>
      <c r="P17" s="249">
        <f t="shared" si="3"/>
        <v>5</v>
      </c>
      <c r="Q17" s="274">
        <f t="shared" si="4"/>
        <v>0.55555555555555558</v>
      </c>
      <c r="R17" s="264" t="str">
        <f t="shared" si="5"/>
        <v>N</v>
      </c>
      <c r="S17" s="249">
        <f t="shared" si="6"/>
        <v>3</v>
      </c>
      <c r="T17" s="274">
        <f t="shared" si="7"/>
        <v>0.75</v>
      </c>
      <c r="U17" s="264" t="str">
        <f t="shared" si="8"/>
        <v>Y</v>
      </c>
    </row>
    <row r="18" spans="2:21" s="64" customFormat="1" ht="20.100000000000001" customHeight="1">
      <c r="B18" s="263">
        <v>4</v>
      </c>
      <c r="C18" s="278" t="str">
        <f>'Student Details'!D16</f>
        <v xml:space="preserve"> 16EE005</v>
      </c>
      <c r="D18" s="278" t="str">
        <f>'Student Details'!E16</f>
        <v xml:space="preserve"> ARCHANA B.</v>
      </c>
      <c r="E18">
        <v>6</v>
      </c>
      <c r="F18">
        <v>9</v>
      </c>
      <c r="G18">
        <v>5</v>
      </c>
      <c r="H18">
        <v>4</v>
      </c>
      <c r="I18" s="58"/>
      <c r="J18" s="242">
        <v>4</v>
      </c>
      <c r="K18" s="278" t="str">
        <f>'Student Details'!D16</f>
        <v xml:space="preserve"> 16EE005</v>
      </c>
      <c r="L18" s="278" t="str">
        <f>'Student Details'!E16</f>
        <v xml:space="preserve"> ARCHANA B.</v>
      </c>
      <c r="M18" s="250">
        <f t="shared" si="0"/>
        <v>6</v>
      </c>
      <c r="N18" s="274">
        <f t="shared" si="1"/>
        <v>1</v>
      </c>
      <c r="O18" s="264" t="str">
        <f t="shared" si="2"/>
        <v>Y</v>
      </c>
      <c r="P18" s="249">
        <f t="shared" si="3"/>
        <v>14</v>
      </c>
      <c r="Q18" s="274">
        <f t="shared" si="4"/>
        <v>0.93333333333333335</v>
      </c>
      <c r="R18" s="264" t="str">
        <f t="shared" si="5"/>
        <v>Y</v>
      </c>
      <c r="S18" s="249">
        <f t="shared" si="6"/>
        <v>4</v>
      </c>
      <c r="T18" s="274">
        <f t="shared" si="7"/>
        <v>1</v>
      </c>
      <c r="U18" s="264" t="str">
        <f t="shared" si="8"/>
        <v>Y</v>
      </c>
    </row>
    <row r="19" spans="2:21" s="64" customFormat="1" ht="20.100000000000001" customHeight="1">
      <c r="B19" s="263">
        <v>5</v>
      </c>
      <c r="C19" s="278" t="str">
        <f>'Student Details'!D17</f>
        <v xml:space="preserve"> 16EE006</v>
      </c>
      <c r="D19" s="278" t="str">
        <f>'Student Details'!E17</f>
        <v xml:space="preserve"> AYESHA SHAMAIL</v>
      </c>
      <c r="E19">
        <v>4</v>
      </c>
      <c r="F19">
        <v>0</v>
      </c>
      <c r="G19">
        <v>1</v>
      </c>
      <c r="H19">
        <v>3</v>
      </c>
      <c r="I19" s="58"/>
      <c r="J19" s="242">
        <v>5</v>
      </c>
      <c r="K19" s="278" t="str">
        <f>'Student Details'!D17</f>
        <v xml:space="preserve"> 16EE006</v>
      </c>
      <c r="L19" s="278" t="str">
        <f>'Student Details'!E17</f>
        <v xml:space="preserve"> AYESHA SHAMAIL</v>
      </c>
      <c r="M19" s="250">
        <f t="shared" si="0"/>
        <v>4</v>
      </c>
      <c r="N19" s="274">
        <f t="shared" si="1"/>
        <v>0.66666666666666663</v>
      </c>
      <c r="O19" s="264" t="str">
        <f t="shared" si="2"/>
        <v>Y</v>
      </c>
      <c r="P19" s="249">
        <f t="shared" si="3"/>
        <v>1</v>
      </c>
      <c r="Q19" s="274">
        <f t="shared" si="4"/>
        <v>0.16666666666666666</v>
      </c>
      <c r="R19" s="264" t="str">
        <f t="shared" si="5"/>
        <v>N</v>
      </c>
      <c r="S19" s="249">
        <f t="shared" si="6"/>
        <v>3</v>
      </c>
      <c r="T19" s="274">
        <f t="shared" si="7"/>
        <v>0.75</v>
      </c>
      <c r="U19" s="264" t="str">
        <f t="shared" si="8"/>
        <v>Y</v>
      </c>
    </row>
    <row r="20" spans="2:21" s="64" customFormat="1" ht="20.100000000000001" customHeight="1">
      <c r="B20" s="263">
        <v>6</v>
      </c>
      <c r="C20" s="278" t="str">
        <f>'Student Details'!D18</f>
        <v xml:space="preserve"> 16EE008</v>
      </c>
      <c r="D20" s="278" t="str">
        <f>'Student Details'!E18</f>
        <v xml:space="preserve"> BHAGYASHREE</v>
      </c>
      <c r="E20">
        <v>4</v>
      </c>
      <c r="F20">
        <v>9</v>
      </c>
      <c r="G20">
        <v>1</v>
      </c>
      <c r="H20">
        <v>4</v>
      </c>
      <c r="I20" s="58"/>
      <c r="J20" s="242">
        <v>6</v>
      </c>
      <c r="K20" s="278" t="str">
        <f>'Student Details'!D18</f>
        <v xml:space="preserve"> 16EE008</v>
      </c>
      <c r="L20" s="278" t="str">
        <f>'Student Details'!E18</f>
        <v xml:space="preserve"> BHAGYASHREE</v>
      </c>
      <c r="M20" s="250">
        <f t="shared" si="0"/>
        <v>4</v>
      </c>
      <c r="N20" s="274">
        <f t="shared" si="1"/>
        <v>0.66666666666666663</v>
      </c>
      <c r="O20" s="264" t="str">
        <f t="shared" si="2"/>
        <v>Y</v>
      </c>
      <c r="P20" s="249">
        <f t="shared" si="3"/>
        <v>10</v>
      </c>
      <c r="Q20" s="274">
        <f t="shared" si="4"/>
        <v>0.66666666666666663</v>
      </c>
      <c r="R20" s="264" t="str">
        <f t="shared" si="5"/>
        <v>Y</v>
      </c>
      <c r="S20" s="249">
        <f t="shared" si="6"/>
        <v>4</v>
      </c>
      <c r="T20" s="274">
        <f t="shared" si="7"/>
        <v>1</v>
      </c>
      <c r="U20" s="264" t="str">
        <f t="shared" si="8"/>
        <v>Y</v>
      </c>
    </row>
    <row r="21" spans="2:21" s="64" customFormat="1" ht="20.100000000000001" customHeight="1">
      <c r="B21" s="263">
        <v>7</v>
      </c>
      <c r="C21" s="278" t="str">
        <f>'Student Details'!D19</f>
        <v xml:space="preserve"> 16EE009</v>
      </c>
      <c r="D21" s="278" t="str">
        <f>'Student Details'!E19</f>
        <v xml:space="preserve"> BHAVANA H M</v>
      </c>
      <c r="E21">
        <v>5</v>
      </c>
      <c r="F21">
        <v>2</v>
      </c>
      <c r="G21">
        <v>0</v>
      </c>
      <c r="H21">
        <v>0</v>
      </c>
      <c r="I21" s="58"/>
      <c r="J21" s="242">
        <v>7</v>
      </c>
      <c r="K21" s="278" t="str">
        <f>'Student Details'!D19</f>
        <v xml:space="preserve"> 16EE009</v>
      </c>
      <c r="L21" s="278" t="str">
        <f>'Student Details'!E19</f>
        <v xml:space="preserve"> BHAVANA H M</v>
      </c>
      <c r="M21" s="250">
        <f t="shared" si="0"/>
        <v>5</v>
      </c>
      <c r="N21" s="274">
        <f t="shared" si="1"/>
        <v>0.83333333333333337</v>
      </c>
      <c r="O21" s="264" t="str">
        <f t="shared" si="2"/>
        <v>Y</v>
      </c>
      <c r="P21" s="249">
        <f t="shared" si="3"/>
        <v>2</v>
      </c>
      <c r="Q21" s="274">
        <f t="shared" si="4"/>
        <v>0.22222222222222221</v>
      </c>
      <c r="R21" s="264" t="str">
        <f t="shared" si="5"/>
        <v>N</v>
      </c>
      <c r="S21" s="249" t="str">
        <f t="shared" si="6"/>
        <v>NA</v>
      </c>
      <c r="T21" s="274" t="str">
        <f t="shared" si="7"/>
        <v>NA</v>
      </c>
      <c r="U21" s="264" t="str">
        <f t="shared" si="8"/>
        <v>NA</v>
      </c>
    </row>
    <row r="22" spans="2:21" s="64" customFormat="1" ht="20.100000000000001" customHeight="1">
      <c r="B22" s="263">
        <v>8</v>
      </c>
      <c r="C22" s="244" t="str">
        <f>'Student Details'!D20</f>
        <v xml:space="preserve"> 16EE010</v>
      </c>
      <c r="D22" s="244" t="str">
        <f>'Student Details'!E20</f>
        <v xml:space="preserve"> BHIMANAIKA Y</v>
      </c>
      <c r="E22">
        <v>6</v>
      </c>
      <c r="F22">
        <v>6</v>
      </c>
      <c r="G22">
        <v>1</v>
      </c>
      <c r="H22">
        <v>2</v>
      </c>
      <c r="I22" s="58"/>
      <c r="J22" s="242">
        <v>8</v>
      </c>
      <c r="K22" s="278" t="str">
        <f>'Student Details'!D20</f>
        <v xml:space="preserve"> 16EE010</v>
      </c>
      <c r="L22" s="278" t="str">
        <f>'Student Details'!E20</f>
        <v xml:space="preserve"> BHIMANAIKA Y</v>
      </c>
      <c r="M22" s="250">
        <f t="shared" si="0"/>
        <v>6</v>
      </c>
      <c r="N22" s="274">
        <f t="shared" si="1"/>
        <v>1</v>
      </c>
      <c r="O22" s="264" t="str">
        <f t="shared" si="2"/>
        <v>Y</v>
      </c>
      <c r="P22" s="249">
        <f t="shared" si="3"/>
        <v>7</v>
      </c>
      <c r="Q22" s="274">
        <f t="shared" si="4"/>
        <v>0.46666666666666667</v>
      </c>
      <c r="R22" s="264" t="str">
        <f t="shared" si="5"/>
        <v>N</v>
      </c>
      <c r="S22" s="249">
        <f t="shared" si="6"/>
        <v>2</v>
      </c>
      <c r="T22" s="274">
        <f t="shared" si="7"/>
        <v>0.5</v>
      </c>
      <c r="U22" s="264" t="str">
        <f t="shared" si="8"/>
        <v>N</v>
      </c>
    </row>
    <row r="23" spans="2:21" s="64" customFormat="1" ht="20.100000000000001" customHeight="1">
      <c r="B23" s="263">
        <v>9</v>
      </c>
      <c r="C23" s="244" t="str">
        <f>'Student Details'!D21</f>
        <v xml:space="preserve"> 16EE011</v>
      </c>
      <c r="D23" s="244" t="str">
        <f>'Student Details'!E21</f>
        <v xml:space="preserve"> BINDUSHREE T.A.</v>
      </c>
      <c r="E23">
        <v>0</v>
      </c>
      <c r="F23">
        <v>2</v>
      </c>
      <c r="G23">
        <v>0</v>
      </c>
      <c r="H23">
        <v>1</v>
      </c>
      <c r="I23" s="58"/>
      <c r="J23" s="242">
        <v>9</v>
      </c>
      <c r="K23" s="278" t="str">
        <f>'Student Details'!D21</f>
        <v xml:space="preserve"> 16EE011</v>
      </c>
      <c r="L23" s="278" t="str">
        <f>'Student Details'!E21</f>
        <v xml:space="preserve"> BINDUSHREE T.A.</v>
      </c>
      <c r="M23" s="250" t="str">
        <f t="shared" si="0"/>
        <v>NA</v>
      </c>
      <c r="N23" s="274" t="str">
        <f t="shared" si="1"/>
        <v>NA</v>
      </c>
      <c r="O23" s="264" t="str">
        <f t="shared" si="2"/>
        <v>NA</v>
      </c>
      <c r="P23" s="249">
        <f t="shared" si="3"/>
        <v>2</v>
      </c>
      <c r="Q23" s="274">
        <f t="shared" si="4"/>
        <v>0.22222222222222221</v>
      </c>
      <c r="R23" s="264" t="str">
        <f t="shared" si="5"/>
        <v>N</v>
      </c>
      <c r="S23" s="249">
        <f t="shared" si="6"/>
        <v>1</v>
      </c>
      <c r="T23" s="274">
        <f t="shared" si="7"/>
        <v>0.25</v>
      </c>
      <c r="U23" s="264" t="str">
        <f t="shared" si="8"/>
        <v>N</v>
      </c>
    </row>
    <row r="24" spans="2:21" s="64" customFormat="1" ht="20.100000000000001" customHeight="1">
      <c r="B24" s="263">
        <v>10</v>
      </c>
      <c r="C24" s="244" t="str">
        <f>'Student Details'!D22</f>
        <v xml:space="preserve"> 16EE012</v>
      </c>
      <c r="D24" s="244" t="str">
        <f>'Student Details'!E22</f>
        <v xml:space="preserve"> BRUNDA S</v>
      </c>
      <c r="E24">
        <v>6</v>
      </c>
      <c r="F24">
        <v>9</v>
      </c>
      <c r="G24">
        <v>6</v>
      </c>
      <c r="H24">
        <v>4</v>
      </c>
      <c r="I24" s="58"/>
      <c r="J24" s="242">
        <v>10</v>
      </c>
      <c r="K24" s="278" t="str">
        <f>'Student Details'!D22</f>
        <v xml:space="preserve"> 16EE012</v>
      </c>
      <c r="L24" s="278" t="str">
        <f>'Student Details'!E22</f>
        <v xml:space="preserve"> BRUNDA S</v>
      </c>
      <c r="M24" s="250">
        <f t="shared" si="0"/>
        <v>6</v>
      </c>
      <c r="N24" s="274">
        <f t="shared" si="1"/>
        <v>1</v>
      </c>
      <c r="O24" s="264" t="str">
        <f t="shared" si="2"/>
        <v>Y</v>
      </c>
      <c r="P24" s="249">
        <f t="shared" si="3"/>
        <v>15</v>
      </c>
      <c r="Q24" s="274">
        <f t="shared" si="4"/>
        <v>1</v>
      </c>
      <c r="R24" s="264" t="str">
        <f t="shared" si="5"/>
        <v>Y</v>
      </c>
      <c r="S24" s="249">
        <f t="shared" si="6"/>
        <v>4</v>
      </c>
      <c r="T24" s="274">
        <f t="shared" si="7"/>
        <v>1</v>
      </c>
      <c r="U24" s="264" t="str">
        <f t="shared" si="8"/>
        <v>Y</v>
      </c>
    </row>
    <row r="25" spans="2:21" s="64" customFormat="1" ht="20.100000000000001" customHeight="1">
      <c r="B25" s="263">
        <v>11</v>
      </c>
      <c r="C25" s="244" t="str">
        <f>'Student Details'!D23</f>
        <v xml:space="preserve"> 16EE013</v>
      </c>
      <c r="D25" s="244" t="str">
        <f>'Student Details'!E23</f>
        <v xml:space="preserve"> CHAITHRA S</v>
      </c>
      <c r="E25">
        <v>5</v>
      </c>
      <c r="F25">
        <v>8</v>
      </c>
      <c r="G25">
        <v>1</v>
      </c>
      <c r="H25">
        <v>2</v>
      </c>
      <c r="I25" s="58"/>
      <c r="J25" s="242">
        <v>11</v>
      </c>
      <c r="K25" s="278" t="str">
        <f>'Student Details'!D23</f>
        <v xml:space="preserve"> 16EE013</v>
      </c>
      <c r="L25" s="278" t="str">
        <f>'Student Details'!E23</f>
        <v xml:space="preserve"> CHAITHRA S</v>
      </c>
      <c r="M25" s="250">
        <f t="shared" si="0"/>
        <v>5</v>
      </c>
      <c r="N25" s="274">
        <f t="shared" si="1"/>
        <v>0.83333333333333337</v>
      </c>
      <c r="O25" s="264" t="str">
        <f t="shared" si="2"/>
        <v>Y</v>
      </c>
      <c r="P25" s="249">
        <f t="shared" si="3"/>
        <v>9</v>
      </c>
      <c r="Q25" s="274">
        <f t="shared" si="4"/>
        <v>0.6</v>
      </c>
      <c r="R25" s="264" t="str">
        <f t="shared" si="5"/>
        <v>Y</v>
      </c>
      <c r="S25" s="249">
        <f t="shared" si="6"/>
        <v>2</v>
      </c>
      <c r="T25" s="274">
        <f t="shared" si="7"/>
        <v>0.5</v>
      </c>
      <c r="U25" s="264" t="str">
        <f t="shared" si="8"/>
        <v>N</v>
      </c>
    </row>
    <row r="26" spans="2:21" s="64" customFormat="1" ht="20.100000000000001" customHeight="1">
      <c r="B26" s="263">
        <v>12</v>
      </c>
      <c r="C26" s="244" t="str">
        <f>'Student Details'!D24</f>
        <v xml:space="preserve"> 16EE014</v>
      </c>
      <c r="D26" s="244" t="str">
        <f>'Student Details'!E24</f>
        <v xml:space="preserve"> CHETHAN M</v>
      </c>
      <c r="E26">
        <v>0</v>
      </c>
      <c r="F26">
        <v>8</v>
      </c>
      <c r="G26">
        <v>2</v>
      </c>
      <c r="H26">
        <v>3</v>
      </c>
      <c r="I26" s="58"/>
      <c r="J26" s="242">
        <v>12</v>
      </c>
      <c r="K26" s="278" t="str">
        <f>'Student Details'!D24</f>
        <v xml:space="preserve"> 16EE014</v>
      </c>
      <c r="L26" s="278" t="str">
        <f>'Student Details'!E24</f>
        <v xml:space="preserve"> CHETHAN M</v>
      </c>
      <c r="M26" s="250" t="str">
        <f t="shared" si="0"/>
        <v>NA</v>
      </c>
      <c r="N26" s="274" t="str">
        <f t="shared" si="1"/>
        <v>NA</v>
      </c>
      <c r="O26" s="264" t="str">
        <f t="shared" si="2"/>
        <v>NA</v>
      </c>
      <c r="P26" s="249">
        <f t="shared" si="3"/>
        <v>10</v>
      </c>
      <c r="Q26" s="274">
        <f t="shared" si="4"/>
        <v>0.66666666666666663</v>
      </c>
      <c r="R26" s="264" t="str">
        <f t="shared" si="5"/>
        <v>Y</v>
      </c>
      <c r="S26" s="249">
        <f t="shared" si="6"/>
        <v>3</v>
      </c>
      <c r="T26" s="274">
        <f t="shared" si="7"/>
        <v>0.75</v>
      </c>
      <c r="U26" s="264" t="str">
        <f t="shared" si="8"/>
        <v>Y</v>
      </c>
    </row>
    <row r="27" spans="2:21" s="64" customFormat="1" ht="20.100000000000001" customHeight="1">
      <c r="B27" s="263">
        <v>13</v>
      </c>
      <c r="C27" s="244" t="str">
        <f>'Student Details'!D25</f>
        <v xml:space="preserve"> 16EE016</v>
      </c>
      <c r="D27" s="244" t="str">
        <f>'Student Details'!E25</f>
        <v xml:space="preserve"> DEEKSHITH M S</v>
      </c>
      <c r="E27">
        <v>0</v>
      </c>
      <c r="F27">
        <v>2</v>
      </c>
      <c r="G27">
        <v>1</v>
      </c>
      <c r="H27"/>
      <c r="I27" s="58"/>
      <c r="J27" s="242">
        <v>13</v>
      </c>
      <c r="K27" s="278" t="str">
        <f>'Student Details'!D25</f>
        <v xml:space="preserve"> 16EE016</v>
      </c>
      <c r="L27" s="278" t="str">
        <f>'Student Details'!E25</f>
        <v xml:space="preserve"> DEEKSHITH M S</v>
      </c>
      <c r="M27" s="250" t="str">
        <f t="shared" si="0"/>
        <v>NA</v>
      </c>
      <c r="N27" s="274" t="str">
        <f t="shared" si="1"/>
        <v>NA</v>
      </c>
      <c r="O27" s="264" t="str">
        <f t="shared" si="2"/>
        <v>NA</v>
      </c>
      <c r="P27" s="249">
        <f t="shared" si="3"/>
        <v>3</v>
      </c>
      <c r="Q27" s="274">
        <f t="shared" si="4"/>
        <v>0.2</v>
      </c>
      <c r="R27" s="264" t="str">
        <f t="shared" si="5"/>
        <v>N</v>
      </c>
      <c r="S27" s="249" t="str">
        <f t="shared" si="6"/>
        <v>NA</v>
      </c>
      <c r="T27" s="274" t="str">
        <f t="shared" si="7"/>
        <v>NA</v>
      </c>
      <c r="U27" s="264" t="str">
        <f t="shared" si="8"/>
        <v>NA</v>
      </c>
    </row>
    <row r="28" spans="2:21" s="64" customFormat="1" ht="20.100000000000001" customHeight="1">
      <c r="B28" s="263">
        <v>14</v>
      </c>
      <c r="C28" s="244" t="str">
        <f>'Student Details'!D26</f>
        <v xml:space="preserve"> 16EE017</v>
      </c>
      <c r="D28" s="244" t="str">
        <f>'Student Details'!E26</f>
        <v xml:space="preserve"> DEEPTI M HONGUTHI</v>
      </c>
      <c r="E28">
        <v>6</v>
      </c>
      <c r="F28">
        <v>9</v>
      </c>
      <c r="G28">
        <v>3</v>
      </c>
      <c r="H28">
        <v>2</v>
      </c>
      <c r="I28" s="58"/>
      <c r="J28" s="242">
        <v>14</v>
      </c>
      <c r="K28" s="278" t="str">
        <f>'Student Details'!D26</f>
        <v xml:space="preserve"> 16EE017</v>
      </c>
      <c r="L28" s="278" t="str">
        <f>'Student Details'!E26</f>
        <v xml:space="preserve"> DEEPTI M HONGUTHI</v>
      </c>
      <c r="M28" s="250">
        <f t="shared" si="0"/>
        <v>6</v>
      </c>
      <c r="N28" s="274">
        <f t="shared" si="1"/>
        <v>1</v>
      </c>
      <c r="O28" s="264" t="str">
        <f t="shared" si="2"/>
        <v>Y</v>
      </c>
      <c r="P28" s="249">
        <f t="shared" si="3"/>
        <v>12</v>
      </c>
      <c r="Q28" s="274">
        <f t="shared" si="4"/>
        <v>0.8</v>
      </c>
      <c r="R28" s="264" t="str">
        <f t="shared" si="5"/>
        <v>Y</v>
      </c>
      <c r="S28" s="249">
        <f t="shared" si="6"/>
        <v>2</v>
      </c>
      <c r="T28" s="274">
        <f t="shared" si="7"/>
        <v>0.5</v>
      </c>
      <c r="U28" s="264" t="str">
        <f t="shared" si="8"/>
        <v>N</v>
      </c>
    </row>
    <row r="29" spans="2:21" s="64" customFormat="1" ht="20.100000000000001" customHeight="1">
      <c r="B29" s="263">
        <v>15</v>
      </c>
      <c r="C29" s="244" t="str">
        <f>'Student Details'!D27</f>
        <v xml:space="preserve"> 16EE020</v>
      </c>
      <c r="D29" s="244" t="str">
        <f>'Student Details'!E27</f>
        <v xml:space="preserve"> HARSHA</v>
      </c>
      <c r="E29">
        <v>1</v>
      </c>
      <c r="F29">
        <v>2</v>
      </c>
      <c r="G29"/>
      <c r="H29">
        <v>2</v>
      </c>
      <c r="I29" s="58"/>
      <c r="J29" s="242">
        <v>15</v>
      </c>
      <c r="K29" s="278" t="str">
        <f>'Student Details'!D27</f>
        <v xml:space="preserve"> 16EE020</v>
      </c>
      <c r="L29" s="278" t="str">
        <f>'Student Details'!E27</f>
        <v xml:space="preserve"> HARSHA</v>
      </c>
      <c r="M29" s="250">
        <f t="shared" si="0"/>
        <v>1</v>
      </c>
      <c r="N29" s="274">
        <f t="shared" si="1"/>
        <v>0.16666666666666666</v>
      </c>
      <c r="O29" s="264" t="str">
        <f t="shared" si="2"/>
        <v>N</v>
      </c>
      <c r="P29" s="249">
        <f t="shared" si="3"/>
        <v>2</v>
      </c>
      <c r="Q29" s="274">
        <f t="shared" si="4"/>
        <v>0.22222222222222221</v>
      </c>
      <c r="R29" s="264" t="str">
        <f t="shared" si="5"/>
        <v>N</v>
      </c>
      <c r="S29" s="249">
        <f t="shared" si="6"/>
        <v>2</v>
      </c>
      <c r="T29" s="274">
        <f t="shared" si="7"/>
        <v>0.5</v>
      </c>
      <c r="U29" s="264" t="str">
        <f t="shared" si="8"/>
        <v>N</v>
      </c>
    </row>
    <row r="30" spans="2:21" s="64" customFormat="1" ht="20.100000000000001" customHeight="1">
      <c r="B30" s="263">
        <v>16</v>
      </c>
      <c r="C30" s="244" t="str">
        <f>'Student Details'!D28</f>
        <v xml:space="preserve"> 16EE021</v>
      </c>
      <c r="D30" s="244" t="str">
        <f>'Student Details'!E28</f>
        <v xml:space="preserve"> JEEVITHA L R</v>
      </c>
      <c r="E30">
        <v>1</v>
      </c>
      <c r="F30">
        <v>9</v>
      </c>
      <c r="G30">
        <v>6</v>
      </c>
      <c r="H30">
        <v>4</v>
      </c>
      <c r="I30" s="58"/>
      <c r="J30" s="242">
        <v>16</v>
      </c>
      <c r="K30" s="278" t="str">
        <f>'Student Details'!D28</f>
        <v xml:space="preserve"> 16EE021</v>
      </c>
      <c r="L30" s="278" t="str">
        <f>'Student Details'!E28</f>
        <v xml:space="preserve"> JEEVITHA L R</v>
      </c>
      <c r="M30" s="250">
        <f t="shared" si="0"/>
        <v>1</v>
      </c>
      <c r="N30" s="274">
        <f t="shared" si="1"/>
        <v>0.16666666666666666</v>
      </c>
      <c r="O30" s="264" t="str">
        <f t="shared" si="2"/>
        <v>N</v>
      </c>
      <c r="P30" s="249">
        <f t="shared" si="3"/>
        <v>15</v>
      </c>
      <c r="Q30" s="274">
        <f t="shared" si="4"/>
        <v>1</v>
      </c>
      <c r="R30" s="264" t="str">
        <f t="shared" si="5"/>
        <v>Y</v>
      </c>
      <c r="S30" s="249">
        <f t="shared" si="6"/>
        <v>4</v>
      </c>
      <c r="T30" s="274">
        <f t="shared" si="7"/>
        <v>1</v>
      </c>
      <c r="U30" s="264" t="str">
        <f t="shared" si="8"/>
        <v>Y</v>
      </c>
    </row>
    <row r="31" spans="2:21" s="64" customFormat="1" ht="20.100000000000001" customHeight="1">
      <c r="B31" s="263">
        <v>17</v>
      </c>
      <c r="C31" s="244" t="str">
        <f>'Student Details'!D29</f>
        <v xml:space="preserve"> 16EE022</v>
      </c>
      <c r="D31" s="244" t="str">
        <f>'Student Details'!E29</f>
        <v xml:space="preserve"> JULEKHA B</v>
      </c>
      <c r="E31">
        <v>6</v>
      </c>
      <c r="F31">
        <v>9</v>
      </c>
      <c r="G31">
        <v>3</v>
      </c>
      <c r="H31">
        <v>4</v>
      </c>
      <c r="I31" s="58"/>
      <c r="J31" s="242">
        <v>17</v>
      </c>
      <c r="K31" s="278" t="str">
        <f>'Student Details'!D29</f>
        <v xml:space="preserve"> 16EE022</v>
      </c>
      <c r="L31" s="278" t="str">
        <f>'Student Details'!E29</f>
        <v xml:space="preserve"> JULEKHA B</v>
      </c>
      <c r="M31" s="250">
        <f t="shared" si="0"/>
        <v>6</v>
      </c>
      <c r="N31" s="274">
        <f t="shared" si="1"/>
        <v>1</v>
      </c>
      <c r="O31" s="264" t="str">
        <f t="shared" si="2"/>
        <v>Y</v>
      </c>
      <c r="P31" s="249">
        <f t="shared" si="3"/>
        <v>12</v>
      </c>
      <c r="Q31" s="274">
        <f t="shared" si="4"/>
        <v>0.8</v>
      </c>
      <c r="R31" s="264" t="str">
        <f t="shared" si="5"/>
        <v>Y</v>
      </c>
      <c r="S31" s="249">
        <f t="shared" si="6"/>
        <v>4</v>
      </c>
      <c r="T31" s="274">
        <f t="shared" si="7"/>
        <v>1</v>
      </c>
      <c r="U31" s="264" t="str">
        <f t="shared" si="8"/>
        <v>Y</v>
      </c>
    </row>
    <row r="32" spans="2:21" s="64" customFormat="1" ht="20.100000000000001" customHeight="1">
      <c r="B32" s="263">
        <v>18</v>
      </c>
      <c r="C32" s="244" t="str">
        <f>'Student Details'!D30</f>
        <v>16EE023</v>
      </c>
      <c r="D32" s="244" t="str">
        <f>'Student Details'!E30</f>
        <v>JYOTHI S N</v>
      </c>
      <c r="E32">
        <v>4</v>
      </c>
      <c r="F32">
        <v>2</v>
      </c>
      <c r="G32"/>
      <c r="H32">
        <v>2</v>
      </c>
      <c r="I32" s="58"/>
      <c r="J32" s="242">
        <v>18</v>
      </c>
      <c r="K32" s="278" t="str">
        <f>'Student Details'!D30</f>
        <v>16EE023</v>
      </c>
      <c r="L32" s="278" t="str">
        <f>'Student Details'!E30</f>
        <v>JYOTHI S N</v>
      </c>
      <c r="M32" s="250">
        <f t="shared" si="0"/>
        <v>4</v>
      </c>
      <c r="N32" s="274">
        <f t="shared" si="1"/>
        <v>0.66666666666666663</v>
      </c>
      <c r="O32" s="264" t="str">
        <f t="shared" si="2"/>
        <v>Y</v>
      </c>
      <c r="P32" s="249">
        <f t="shared" si="3"/>
        <v>2</v>
      </c>
      <c r="Q32" s="274">
        <f t="shared" si="4"/>
        <v>0.22222222222222221</v>
      </c>
      <c r="R32" s="264" t="str">
        <f t="shared" si="5"/>
        <v>N</v>
      </c>
      <c r="S32" s="249">
        <f t="shared" si="6"/>
        <v>2</v>
      </c>
      <c r="T32" s="274">
        <f t="shared" si="7"/>
        <v>0.5</v>
      </c>
      <c r="U32" s="264" t="str">
        <f t="shared" si="8"/>
        <v>N</v>
      </c>
    </row>
    <row r="33" spans="2:21" s="64" customFormat="1" ht="20.100000000000001" customHeight="1">
      <c r="B33" s="263">
        <v>19</v>
      </c>
      <c r="C33" s="244" t="str">
        <f>'Student Details'!D31</f>
        <v xml:space="preserve"> 16EE025</v>
      </c>
      <c r="D33" s="244" t="str">
        <f>'Student Details'!E31</f>
        <v xml:space="preserve"> KAVANA S</v>
      </c>
      <c r="E33">
        <v>0</v>
      </c>
      <c r="F33">
        <v>8</v>
      </c>
      <c r="G33">
        <v>1</v>
      </c>
      <c r="H33">
        <v>0</v>
      </c>
      <c r="I33" s="58"/>
      <c r="J33" s="242">
        <v>19</v>
      </c>
      <c r="K33" s="278" t="str">
        <f>'Student Details'!D31</f>
        <v xml:space="preserve"> 16EE025</v>
      </c>
      <c r="L33" s="278" t="str">
        <f>'Student Details'!E31</f>
        <v xml:space="preserve"> KAVANA S</v>
      </c>
      <c r="M33" s="250" t="str">
        <f t="shared" si="0"/>
        <v>NA</v>
      </c>
      <c r="N33" s="274" t="str">
        <f t="shared" si="1"/>
        <v>NA</v>
      </c>
      <c r="O33" s="264" t="str">
        <f t="shared" si="2"/>
        <v>NA</v>
      </c>
      <c r="P33" s="249">
        <f t="shared" si="3"/>
        <v>9</v>
      </c>
      <c r="Q33" s="274">
        <f t="shared" si="4"/>
        <v>0.6</v>
      </c>
      <c r="R33" s="264" t="str">
        <f t="shared" si="5"/>
        <v>Y</v>
      </c>
      <c r="S33" s="249" t="str">
        <f t="shared" si="6"/>
        <v>NA</v>
      </c>
      <c r="T33" s="274" t="str">
        <f t="shared" si="7"/>
        <v>NA</v>
      </c>
      <c r="U33" s="264" t="str">
        <f t="shared" si="8"/>
        <v>NA</v>
      </c>
    </row>
    <row r="34" spans="2:21" s="64" customFormat="1" ht="20.100000000000001" customHeight="1">
      <c r="B34" s="263">
        <v>20</v>
      </c>
      <c r="C34" s="244" t="str">
        <f>'Student Details'!D32</f>
        <v xml:space="preserve"> 16EE027</v>
      </c>
      <c r="D34" s="244" t="str">
        <f>'Student Details'!E32</f>
        <v xml:space="preserve"> KUMAR RAGHAVENDRA G.B.</v>
      </c>
      <c r="E34">
        <v>5</v>
      </c>
      <c r="F34">
        <v>9</v>
      </c>
      <c r="G34">
        <v>6</v>
      </c>
      <c r="H34">
        <v>4</v>
      </c>
      <c r="I34" s="58"/>
      <c r="J34" s="242">
        <v>20</v>
      </c>
      <c r="K34" s="278" t="str">
        <f>'Student Details'!D32</f>
        <v xml:space="preserve"> 16EE027</v>
      </c>
      <c r="L34" s="278" t="str">
        <f>'Student Details'!E32</f>
        <v xml:space="preserve"> KUMAR RAGHAVENDRA G.B.</v>
      </c>
      <c r="M34" s="250">
        <f t="shared" si="0"/>
        <v>5</v>
      </c>
      <c r="N34" s="274">
        <f t="shared" si="1"/>
        <v>0.83333333333333337</v>
      </c>
      <c r="O34" s="264" t="str">
        <f t="shared" si="2"/>
        <v>Y</v>
      </c>
      <c r="P34" s="249">
        <f t="shared" si="3"/>
        <v>15</v>
      </c>
      <c r="Q34" s="274">
        <f t="shared" si="4"/>
        <v>1</v>
      </c>
      <c r="R34" s="264" t="str">
        <f t="shared" si="5"/>
        <v>Y</v>
      </c>
      <c r="S34" s="249">
        <f t="shared" si="6"/>
        <v>4</v>
      </c>
      <c r="T34" s="274">
        <f t="shared" si="7"/>
        <v>1</v>
      </c>
      <c r="U34" s="264" t="str">
        <f t="shared" si="8"/>
        <v>Y</v>
      </c>
    </row>
    <row r="35" spans="2:21" s="64" customFormat="1" ht="20.100000000000001" customHeight="1">
      <c r="B35" s="263">
        <v>21</v>
      </c>
      <c r="C35" s="244" t="str">
        <f>'Student Details'!D33</f>
        <v xml:space="preserve"> 16EE028</v>
      </c>
      <c r="D35" s="244" t="str">
        <f>'Student Details'!E33</f>
        <v xml:space="preserve"> LAKSHMI R</v>
      </c>
      <c r="E35">
        <v>6</v>
      </c>
      <c r="F35">
        <v>9</v>
      </c>
      <c r="G35">
        <v>4</v>
      </c>
      <c r="H35">
        <v>3</v>
      </c>
      <c r="I35" s="58"/>
      <c r="J35" s="242">
        <v>21</v>
      </c>
      <c r="K35" s="278" t="str">
        <f>'Student Details'!D33</f>
        <v xml:space="preserve"> 16EE028</v>
      </c>
      <c r="L35" s="278" t="str">
        <f>'Student Details'!E33</f>
        <v xml:space="preserve"> LAKSHMI R</v>
      </c>
      <c r="M35" s="250">
        <f t="shared" si="0"/>
        <v>6</v>
      </c>
      <c r="N35" s="274">
        <f t="shared" si="1"/>
        <v>1</v>
      </c>
      <c r="O35" s="264" t="str">
        <f t="shared" si="2"/>
        <v>Y</v>
      </c>
      <c r="P35" s="249">
        <f t="shared" si="3"/>
        <v>13</v>
      </c>
      <c r="Q35" s="274">
        <f t="shared" si="4"/>
        <v>0.8666666666666667</v>
      </c>
      <c r="R35" s="264" t="str">
        <f t="shared" si="5"/>
        <v>Y</v>
      </c>
      <c r="S35" s="249">
        <f t="shared" si="6"/>
        <v>3</v>
      </c>
      <c r="T35" s="274">
        <f t="shared" si="7"/>
        <v>0.75</v>
      </c>
      <c r="U35" s="264" t="str">
        <f t="shared" si="8"/>
        <v>Y</v>
      </c>
    </row>
    <row r="36" spans="2:21" s="64" customFormat="1" ht="20.100000000000001" customHeight="1">
      <c r="B36" s="263">
        <v>22</v>
      </c>
      <c r="C36" s="244" t="str">
        <f>'Student Details'!D34</f>
        <v xml:space="preserve"> 16EE031</v>
      </c>
      <c r="D36" s="244" t="str">
        <f>'Student Details'!E34</f>
        <v xml:space="preserve"> MANOJ T</v>
      </c>
      <c r="E36">
        <v>6</v>
      </c>
      <c r="F36">
        <v>8</v>
      </c>
      <c r="G36">
        <v>6</v>
      </c>
      <c r="H36">
        <v>3</v>
      </c>
      <c r="I36" s="58"/>
      <c r="J36" s="242">
        <v>22</v>
      </c>
      <c r="K36" s="278" t="str">
        <f>'Student Details'!D34</f>
        <v xml:space="preserve"> 16EE031</v>
      </c>
      <c r="L36" s="278" t="str">
        <f>'Student Details'!E34</f>
        <v xml:space="preserve"> MANOJ T</v>
      </c>
      <c r="M36" s="250">
        <f t="shared" si="0"/>
        <v>6</v>
      </c>
      <c r="N36" s="274">
        <f t="shared" si="1"/>
        <v>1</v>
      </c>
      <c r="O36" s="264" t="str">
        <f t="shared" si="2"/>
        <v>Y</v>
      </c>
      <c r="P36" s="249">
        <f t="shared" si="3"/>
        <v>14</v>
      </c>
      <c r="Q36" s="274">
        <f t="shared" si="4"/>
        <v>0.93333333333333335</v>
      </c>
      <c r="R36" s="264" t="str">
        <f t="shared" si="5"/>
        <v>Y</v>
      </c>
      <c r="S36" s="249">
        <f t="shared" si="6"/>
        <v>3</v>
      </c>
      <c r="T36" s="274">
        <f t="shared" si="7"/>
        <v>0.75</v>
      </c>
      <c r="U36" s="264" t="str">
        <f t="shared" si="8"/>
        <v>Y</v>
      </c>
    </row>
    <row r="37" spans="2:21" s="64" customFormat="1" ht="20.100000000000001" customHeight="1">
      <c r="B37" s="263">
        <v>23</v>
      </c>
      <c r="C37" s="244" t="str">
        <f>'Student Details'!D35</f>
        <v xml:space="preserve"> 16EE032</v>
      </c>
      <c r="D37" s="244" t="str">
        <f>'Student Details'!E35</f>
        <v xml:space="preserve"> MD SARJIL ANSARI</v>
      </c>
      <c r="E37">
        <v>0</v>
      </c>
      <c r="F37">
        <v>9</v>
      </c>
      <c r="G37">
        <v>6</v>
      </c>
      <c r="H37">
        <v>3</v>
      </c>
      <c r="I37" s="58"/>
      <c r="J37" s="242">
        <v>23</v>
      </c>
      <c r="K37" s="278" t="str">
        <f>'Student Details'!D35</f>
        <v xml:space="preserve"> 16EE032</v>
      </c>
      <c r="L37" s="278" t="str">
        <f>'Student Details'!E35</f>
        <v xml:space="preserve"> MD SARJIL ANSARI</v>
      </c>
      <c r="M37" s="250" t="str">
        <f t="shared" si="0"/>
        <v>NA</v>
      </c>
      <c r="N37" s="274" t="str">
        <f t="shared" si="1"/>
        <v>NA</v>
      </c>
      <c r="O37" s="264" t="str">
        <f t="shared" si="2"/>
        <v>NA</v>
      </c>
      <c r="P37" s="249">
        <f t="shared" si="3"/>
        <v>15</v>
      </c>
      <c r="Q37" s="274">
        <f t="shared" si="4"/>
        <v>1</v>
      </c>
      <c r="R37" s="264" t="str">
        <f t="shared" si="5"/>
        <v>Y</v>
      </c>
      <c r="S37" s="249">
        <f t="shared" si="6"/>
        <v>3</v>
      </c>
      <c r="T37" s="274">
        <f t="shared" si="7"/>
        <v>0.75</v>
      </c>
      <c r="U37" s="264" t="str">
        <f t="shared" si="8"/>
        <v>Y</v>
      </c>
    </row>
    <row r="38" spans="2:21" s="64" customFormat="1" ht="20.100000000000001" customHeight="1">
      <c r="B38" s="263">
        <v>24</v>
      </c>
      <c r="C38" s="244" t="str">
        <f>'Student Details'!D36</f>
        <v xml:space="preserve"> 16EE034</v>
      </c>
      <c r="D38" s="244" t="str">
        <f>'Student Details'!E36</f>
        <v xml:space="preserve"> MITHILA A R THOTADA</v>
      </c>
      <c r="E38">
        <v>2</v>
      </c>
      <c r="F38">
        <v>7</v>
      </c>
      <c r="G38"/>
      <c r="H38">
        <v>4</v>
      </c>
      <c r="I38" s="58"/>
      <c r="J38" s="242">
        <v>24</v>
      </c>
      <c r="K38" s="278" t="str">
        <f>'Student Details'!D36</f>
        <v xml:space="preserve"> 16EE034</v>
      </c>
      <c r="L38" s="278" t="str">
        <f>'Student Details'!E36</f>
        <v xml:space="preserve"> MITHILA A R THOTADA</v>
      </c>
      <c r="M38" s="250">
        <f t="shared" si="0"/>
        <v>2</v>
      </c>
      <c r="N38" s="274">
        <f t="shared" si="1"/>
        <v>0.33333333333333331</v>
      </c>
      <c r="O38" s="264" t="str">
        <f t="shared" si="2"/>
        <v>N</v>
      </c>
      <c r="P38" s="249">
        <f t="shared" si="3"/>
        <v>7</v>
      </c>
      <c r="Q38" s="274">
        <f t="shared" si="4"/>
        <v>0.77777777777777779</v>
      </c>
      <c r="R38" s="264" t="str">
        <f t="shared" si="5"/>
        <v>Y</v>
      </c>
      <c r="S38" s="249">
        <f t="shared" si="6"/>
        <v>4</v>
      </c>
      <c r="T38" s="274">
        <f t="shared" si="7"/>
        <v>1</v>
      </c>
      <c r="U38" s="264" t="str">
        <f t="shared" si="8"/>
        <v>Y</v>
      </c>
    </row>
    <row r="39" spans="2:21" s="64" customFormat="1" ht="20.100000000000001" customHeight="1">
      <c r="B39" s="263">
        <v>25</v>
      </c>
      <c r="C39" s="244" t="str">
        <f>'Student Details'!D37</f>
        <v xml:space="preserve"> 16EE035</v>
      </c>
      <c r="D39" s="244" t="str">
        <f>'Student Details'!E37</f>
        <v xml:space="preserve"> MOUNA K.M</v>
      </c>
      <c r="E39">
        <v>5</v>
      </c>
      <c r="F39">
        <v>9</v>
      </c>
      <c r="G39">
        <v>4</v>
      </c>
      <c r="H39">
        <v>4</v>
      </c>
      <c r="I39" s="58"/>
      <c r="J39" s="242">
        <v>25</v>
      </c>
      <c r="K39" s="278" t="str">
        <f>'Student Details'!D37</f>
        <v xml:space="preserve"> 16EE035</v>
      </c>
      <c r="L39" s="278" t="str">
        <f>'Student Details'!E37</f>
        <v xml:space="preserve"> MOUNA K.M</v>
      </c>
      <c r="M39" s="250">
        <f t="shared" si="0"/>
        <v>5</v>
      </c>
      <c r="N39" s="274">
        <f t="shared" si="1"/>
        <v>0.83333333333333337</v>
      </c>
      <c r="O39" s="264" t="str">
        <f t="shared" si="2"/>
        <v>Y</v>
      </c>
      <c r="P39" s="249">
        <f t="shared" si="3"/>
        <v>13</v>
      </c>
      <c r="Q39" s="274">
        <f t="shared" si="4"/>
        <v>0.8666666666666667</v>
      </c>
      <c r="R39" s="264" t="str">
        <f t="shared" si="5"/>
        <v>Y</v>
      </c>
      <c r="S39" s="249">
        <f t="shared" si="6"/>
        <v>4</v>
      </c>
      <c r="T39" s="274">
        <f t="shared" si="7"/>
        <v>1</v>
      </c>
      <c r="U39" s="264" t="str">
        <f t="shared" si="8"/>
        <v>Y</v>
      </c>
    </row>
    <row r="40" spans="2:21" s="64" customFormat="1" ht="20.100000000000001" customHeight="1">
      <c r="B40" s="263">
        <v>26</v>
      </c>
      <c r="C40" s="244" t="str">
        <f>'Student Details'!D38</f>
        <v xml:space="preserve"> 16EE036</v>
      </c>
      <c r="D40" s="244" t="str">
        <f>'Student Details'!E38</f>
        <v xml:space="preserve"> NARASIMHANAYAKA D</v>
      </c>
      <c r="E40">
        <v>5</v>
      </c>
      <c r="F40">
        <v>8</v>
      </c>
      <c r="G40">
        <v>2</v>
      </c>
      <c r="H40">
        <v>4</v>
      </c>
      <c r="I40" s="58"/>
      <c r="J40" s="242">
        <v>26</v>
      </c>
      <c r="K40" s="278" t="str">
        <f>'Student Details'!D38</f>
        <v xml:space="preserve"> 16EE036</v>
      </c>
      <c r="L40" s="278" t="str">
        <f>'Student Details'!E38</f>
        <v xml:space="preserve"> NARASIMHANAYAKA D</v>
      </c>
      <c r="M40" s="250">
        <f t="shared" si="0"/>
        <v>5</v>
      </c>
      <c r="N40" s="274">
        <f t="shared" si="1"/>
        <v>0.83333333333333337</v>
      </c>
      <c r="O40" s="264" t="str">
        <f t="shared" si="2"/>
        <v>Y</v>
      </c>
      <c r="P40" s="249">
        <f t="shared" si="3"/>
        <v>10</v>
      </c>
      <c r="Q40" s="274">
        <f t="shared" si="4"/>
        <v>0.66666666666666663</v>
      </c>
      <c r="R40" s="264" t="str">
        <f t="shared" si="5"/>
        <v>Y</v>
      </c>
      <c r="S40" s="249">
        <f t="shared" si="6"/>
        <v>4</v>
      </c>
      <c r="T40" s="274">
        <f t="shared" si="7"/>
        <v>1</v>
      </c>
      <c r="U40" s="264" t="str">
        <f t="shared" si="8"/>
        <v>Y</v>
      </c>
    </row>
    <row r="41" spans="2:21" s="64" customFormat="1" ht="20.100000000000001" customHeight="1">
      <c r="B41" s="263">
        <v>27</v>
      </c>
      <c r="C41" s="244" t="str">
        <f>'Student Details'!D39</f>
        <v xml:space="preserve"> 16EE037</v>
      </c>
      <c r="D41" s="244" t="str">
        <f>'Student Details'!E39</f>
        <v xml:space="preserve"> NIKHIL H M</v>
      </c>
      <c r="E41">
        <v>6</v>
      </c>
      <c r="F41">
        <v>8</v>
      </c>
      <c r="G41">
        <v>3</v>
      </c>
      <c r="H41">
        <v>3</v>
      </c>
      <c r="I41" s="58"/>
      <c r="J41" s="242">
        <v>27</v>
      </c>
      <c r="K41" s="278" t="str">
        <f>'Student Details'!D39</f>
        <v xml:space="preserve"> 16EE037</v>
      </c>
      <c r="L41" s="278" t="str">
        <f>'Student Details'!E39</f>
        <v xml:space="preserve"> NIKHIL H M</v>
      </c>
      <c r="M41" s="250">
        <f t="shared" si="0"/>
        <v>6</v>
      </c>
      <c r="N41" s="274">
        <f t="shared" si="1"/>
        <v>1</v>
      </c>
      <c r="O41" s="264" t="str">
        <f t="shared" si="2"/>
        <v>Y</v>
      </c>
      <c r="P41" s="249">
        <f t="shared" si="3"/>
        <v>11</v>
      </c>
      <c r="Q41" s="274">
        <f t="shared" si="4"/>
        <v>0.73333333333333328</v>
      </c>
      <c r="R41" s="264" t="str">
        <f t="shared" si="5"/>
        <v>Y</v>
      </c>
      <c r="S41" s="249">
        <f t="shared" si="6"/>
        <v>3</v>
      </c>
      <c r="T41" s="274">
        <f t="shared" si="7"/>
        <v>0.75</v>
      </c>
      <c r="U41" s="264" t="str">
        <f t="shared" si="8"/>
        <v>Y</v>
      </c>
    </row>
    <row r="42" spans="2:21" s="64" customFormat="1" ht="20.100000000000001" customHeight="1">
      <c r="B42" s="263">
        <v>28</v>
      </c>
      <c r="C42" s="244" t="str">
        <f>'Student Details'!D40</f>
        <v xml:space="preserve"> 16EE038</v>
      </c>
      <c r="D42" s="244" t="str">
        <f>'Student Details'!E40</f>
        <v xml:space="preserve"> NITHIN N GUJJAR</v>
      </c>
      <c r="E42"/>
      <c r="F42">
        <v>4</v>
      </c>
      <c r="G42">
        <v>1</v>
      </c>
      <c r="H42">
        <v>3</v>
      </c>
      <c r="I42" s="58"/>
      <c r="J42" s="242">
        <v>28</v>
      </c>
      <c r="K42" s="278" t="str">
        <f>'Student Details'!D40</f>
        <v xml:space="preserve"> 16EE038</v>
      </c>
      <c r="L42" s="278" t="str">
        <f>'Student Details'!E40</f>
        <v xml:space="preserve"> NITHIN N GUJJAR</v>
      </c>
      <c r="M42" s="250" t="str">
        <f t="shared" si="0"/>
        <v>NA</v>
      </c>
      <c r="N42" s="274" t="str">
        <f t="shared" si="1"/>
        <v>NA</v>
      </c>
      <c r="O42" s="264" t="str">
        <f t="shared" si="2"/>
        <v>NA</v>
      </c>
      <c r="P42" s="249">
        <f t="shared" si="3"/>
        <v>5</v>
      </c>
      <c r="Q42" s="274">
        <f t="shared" si="4"/>
        <v>0.33333333333333331</v>
      </c>
      <c r="R42" s="264" t="str">
        <f t="shared" si="5"/>
        <v>N</v>
      </c>
      <c r="S42" s="249">
        <f t="shared" si="6"/>
        <v>3</v>
      </c>
      <c r="T42" s="274">
        <f t="shared" si="7"/>
        <v>0.75</v>
      </c>
      <c r="U42" s="264" t="str">
        <f t="shared" si="8"/>
        <v>Y</v>
      </c>
    </row>
    <row r="43" spans="2:21" s="64" customFormat="1" ht="20.100000000000001" customHeight="1">
      <c r="B43" s="263">
        <v>29</v>
      </c>
      <c r="C43" s="244" t="str">
        <f>'Student Details'!D41</f>
        <v xml:space="preserve"> 16EE039</v>
      </c>
      <c r="D43" s="244" t="str">
        <f>'Student Details'!E41</f>
        <v xml:space="preserve"> NITHIN GOWDA B N</v>
      </c>
      <c r="E43">
        <v>3</v>
      </c>
      <c r="F43">
        <v>8</v>
      </c>
      <c r="G43">
        <v>0</v>
      </c>
      <c r="H43">
        <v>3</v>
      </c>
      <c r="I43" s="58"/>
      <c r="J43" s="242">
        <v>29</v>
      </c>
      <c r="K43" s="278" t="str">
        <f>'Student Details'!D41</f>
        <v xml:space="preserve"> 16EE039</v>
      </c>
      <c r="L43" s="278" t="str">
        <f>'Student Details'!E41</f>
        <v xml:space="preserve"> NITHIN GOWDA B N</v>
      </c>
      <c r="M43" s="250">
        <f t="shared" si="0"/>
        <v>3</v>
      </c>
      <c r="N43" s="274">
        <f t="shared" si="1"/>
        <v>0.5</v>
      </c>
      <c r="O43" s="264" t="str">
        <f t="shared" si="2"/>
        <v>N</v>
      </c>
      <c r="P43" s="249">
        <f t="shared" si="3"/>
        <v>8</v>
      </c>
      <c r="Q43" s="274">
        <f t="shared" si="4"/>
        <v>0.88888888888888884</v>
      </c>
      <c r="R43" s="264" t="str">
        <f t="shared" si="5"/>
        <v>Y</v>
      </c>
      <c r="S43" s="249">
        <f t="shared" si="6"/>
        <v>3</v>
      </c>
      <c r="T43" s="274">
        <f t="shared" si="7"/>
        <v>0.75</v>
      </c>
      <c r="U43" s="264" t="str">
        <f t="shared" si="8"/>
        <v>Y</v>
      </c>
    </row>
    <row r="44" spans="2:21" s="64" customFormat="1" ht="20.100000000000001" customHeight="1">
      <c r="B44" s="263">
        <v>30</v>
      </c>
      <c r="C44" s="244" t="str">
        <f>'Student Details'!D42</f>
        <v xml:space="preserve"> 16EE042</v>
      </c>
      <c r="D44" s="244" t="str">
        <f>'Student Details'!E42</f>
        <v xml:space="preserve"> RAKSHITHA T U</v>
      </c>
      <c r="E44">
        <v>1</v>
      </c>
      <c r="F44">
        <v>9</v>
      </c>
      <c r="G44">
        <v>0</v>
      </c>
      <c r="H44">
        <v>4</v>
      </c>
      <c r="I44" s="58"/>
      <c r="J44" s="242">
        <v>30</v>
      </c>
      <c r="K44" s="278" t="str">
        <f>'Student Details'!D42</f>
        <v xml:space="preserve"> 16EE042</v>
      </c>
      <c r="L44" s="278" t="str">
        <f>'Student Details'!E42</f>
        <v xml:space="preserve"> RAKSHITHA T U</v>
      </c>
      <c r="M44" s="250">
        <f t="shared" si="0"/>
        <v>1</v>
      </c>
      <c r="N44" s="274">
        <f t="shared" si="1"/>
        <v>0.16666666666666666</v>
      </c>
      <c r="O44" s="264" t="str">
        <f t="shared" si="2"/>
        <v>N</v>
      </c>
      <c r="P44" s="249">
        <f t="shared" si="3"/>
        <v>9</v>
      </c>
      <c r="Q44" s="274">
        <f t="shared" si="4"/>
        <v>1</v>
      </c>
      <c r="R44" s="264" t="str">
        <f t="shared" si="5"/>
        <v>Y</v>
      </c>
      <c r="S44" s="249">
        <f t="shared" si="6"/>
        <v>4</v>
      </c>
      <c r="T44" s="274">
        <f t="shared" si="7"/>
        <v>1</v>
      </c>
      <c r="U44" s="264" t="str">
        <f t="shared" si="8"/>
        <v>Y</v>
      </c>
    </row>
    <row r="45" spans="2:21" s="64" customFormat="1" ht="20.100000000000001" customHeight="1">
      <c r="B45" s="263">
        <v>31</v>
      </c>
      <c r="C45" s="244" t="str">
        <f>'Student Details'!D43</f>
        <v xml:space="preserve"> 16EE043</v>
      </c>
      <c r="D45" s="244" t="str">
        <f>'Student Details'!E43</f>
        <v xml:space="preserve"> RAMKUMAR K M</v>
      </c>
      <c r="E45">
        <v>1</v>
      </c>
      <c r="F45">
        <v>9</v>
      </c>
      <c r="G45"/>
      <c r="H45">
        <v>1</v>
      </c>
      <c r="I45" s="58"/>
      <c r="J45" s="242">
        <v>31</v>
      </c>
      <c r="K45" s="278" t="str">
        <f>'Student Details'!D43</f>
        <v xml:space="preserve"> 16EE043</v>
      </c>
      <c r="L45" s="278" t="str">
        <f>'Student Details'!E43</f>
        <v xml:space="preserve"> RAMKUMAR K M</v>
      </c>
      <c r="M45" s="250">
        <f t="shared" si="0"/>
        <v>1</v>
      </c>
      <c r="N45" s="274">
        <f t="shared" si="1"/>
        <v>0.16666666666666666</v>
      </c>
      <c r="O45" s="264" t="str">
        <f t="shared" si="2"/>
        <v>N</v>
      </c>
      <c r="P45" s="249">
        <f t="shared" si="3"/>
        <v>9</v>
      </c>
      <c r="Q45" s="274">
        <f t="shared" si="4"/>
        <v>1</v>
      </c>
      <c r="R45" s="264" t="str">
        <f t="shared" si="5"/>
        <v>Y</v>
      </c>
      <c r="S45" s="249">
        <f t="shared" si="6"/>
        <v>1</v>
      </c>
      <c r="T45" s="274">
        <f t="shared" si="7"/>
        <v>0.25</v>
      </c>
      <c r="U45" s="264" t="str">
        <f t="shared" si="8"/>
        <v>N</v>
      </c>
    </row>
    <row r="46" spans="2:21" s="64" customFormat="1" ht="20.100000000000001" customHeight="1">
      <c r="B46" s="263">
        <v>32</v>
      </c>
      <c r="C46" s="244" t="str">
        <f>'Student Details'!D44</f>
        <v xml:space="preserve"> 16EE045</v>
      </c>
      <c r="D46" s="244" t="str">
        <f>'Student Details'!E44</f>
        <v xml:space="preserve"> RENUKA K</v>
      </c>
      <c r="E46">
        <v>6</v>
      </c>
      <c r="F46">
        <v>9</v>
      </c>
      <c r="G46">
        <v>3</v>
      </c>
      <c r="H46">
        <v>3</v>
      </c>
      <c r="I46" s="58"/>
      <c r="J46" s="242">
        <v>32</v>
      </c>
      <c r="K46" s="278" t="str">
        <f>'Student Details'!D44</f>
        <v xml:space="preserve"> 16EE045</v>
      </c>
      <c r="L46" s="278" t="str">
        <f>'Student Details'!E44</f>
        <v xml:space="preserve"> RENUKA K</v>
      </c>
      <c r="M46" s="250">
        <f t="shared" si="0"/>
        <v>6</v>
      </c>
      <c r="N46" s="274">
        <f t="shared" si="1"/>
        <v>1</v>
      </c>
      <c r="O46" s="264" t="str">
        <f t="shared" si="2"/>
        <v>Y</v>
      </c>
      <c r="P46" s="249">
        <f t="shared" si="3"/>
        <v>12</v>
      </c>
      <c r="Q46" s="274">
        <f t="shared" si="4"/>
        <v>0.8</v>
      </c>
      <c r="R46" s="264" t="str">
        <f t="shared" si="5"/>
        <v>Y</v>
      </c>
      <c r="S46" s="249">
        <f t="shared" si="6"/>
        <v>3</v>
      </c>
      <c r="T46" s="274">
        <f t="shared" si="7"/>
        <v>0.75</v>
      </c>
      <c r="U46" s="264" t="str">
        <f t="shared" si="8"/>
        <v>Y</v>
      </c>
    </row>
    <row r="47" spans="2:21" s="64" customFormat="1" ht="20.100000000000001" customHeight="1">
      <c r="B47" s="263">
        <v>33</v>
      </c>
      <c r="C47" s="244" t="str">
        <f>'Student Details'!D45</f>
        <v xml:space="preserve"> 16EE046</v>
      </c>
      <c r="D47" s="244" t="str">
        <f>'Student Details'!E45</f>
        <v xml:space="preserve"> RESHMA</v>
      </c>
      <c r="E47">
        <v>6</v>
      </c>
      <c r="F47">
        <v>9</v>
      </c>
      <c r="G47">
        <v>2</v>
      </c>
      <c r="H47">
        <v>4</v>
      </c>
      <c r="I47" s="58"/>
      <c r="J47" s="242">
        <v>33</v>
      </c>
      <c r="K47" s="278" t="str">
        <f>'Student Details'!D45</f>
        <v xml:space="preserve"> 16EE046</v>
      </c>
      <c r="L47" s="278" t="str">
        <f>'Student Details'!E45</f>
        <v xml:space="preserve"> RESHMA</v>
      </c>
      <c r="M47" s="250">
        <f t="shared" ref="M47:M75" si="9">IF(SUM(E47)=0,"NA",SUM(E47))</f>
        <v>6</v>
      </c>
      <c r="N47" s="274">
        <f t="shared" ref="N47:N75" si="10">IF(M47="NA","NA",IF(M47/(SUM(IF(E47&gt;0,$E$14,0)))=0,"",M47/(SUM(IF(E47&gt;0,$E$14,0)))))</f>
        <v>1</v>
      </c>
      <c r="O47" s="264" t="str">
        <f t="shared" ref="O47:O75" si="11">IF(N47="NA","NA",IF(N47="","",IF(N47&gt;=$O$14,"Y","N")))</f>
        <v>Y</v>
      </c>
      <c r="P47" s="249">
        <f t="shared" ref="P47:P75" si="12">IF(SUM(F47,G47)=0,"NA",SUM(F47,G47))</f>
        <v>11</v>
      </c>
      <c r="Q47" s="274">
        <f t="shared" ref="Q47:Q75" si="13">IF(P47="NA","NA",IF(P47/(SUM(IF(F47&gt;0,$F$14,0),IF(G47&gt;0,$G$14,0)))=0,"",P47/(SUM(IF(F47&gt;0,$F$14,0),IF(G47&gt;0,$G$14,0)))))</f>
        <v>0.73333333333333328</v>
      </c>
      <c r="R47" s="264" t="str">
        <f t="shared" ref="R47:R75" si="14">IF(Q47="NA","NA",IF(Q47="","",IF(Q47&gt;=$R$14,"Y","N")))</f>
        <v>Y</v>
      </c>
      <c r="S47" s="249">
        <f t="shared" ref="S47:S75" si="15">IF(SUM(H47)=0,"NA",SUM(H47))</f>
        <v>4</v>
      </c>
      <c r="T47" s="274">
        <f t="shared" ref="T47:T75" si="16">IF(S47="NA","NA",IF(S47/(SUM(IF(H47&gt;0,$H$14,0)))=0,"",S47/(SUM(IF(H47&gt;0,$H$14,0)))))</f>
        <v>1</v>
      </c>
      <c r="U47" s="264" t="str">
        <f t="shared" ref="U47:U75" si="17">IF(T47="NA","NA",IF(T47="","",IF(T47&gt;=$U$14,"Y","N")))</f>
        <v>Y</v>
      </c>
    </row>
    <row r="48" spans="2:21" s="64" customFormat="1" ht="20.100000000000001" customHeight="1">
      <c r="B48" s="263">
        <v>34</v>
      </c>
      <c r="C48" s="244" t="str">
        <f>'Student Details'!D46</f>
        <v xml:space="preserve"> 16EE047</v>
      </c>
      <c r="D48" s="244" t="str">
        <f>'Student Details'!E46</f>
        <v xml:space="preserve"> SAHINABEGAUM NADAF</v>
      </c>
      <c r="E48">
        <v>5</v>
      </c>
      <c r="F48">
        <v>1</v>
      </c>
      <c r="G48">
        <v>0</v>
      </c>
      <c r="H48">
        <v>2</v>
      </c>
      <c r="I48" s="58"/>
      <c r="J48" s="242">
        <v>34</v>
      </c>
      <c r="K48" s="278" t="str">
        <f>'Student Details'!D46</f>
        <v xml:space="preserve"> 16EE047</v>
      </c>
      <c r="L48" s="278" t="str">
        <f>'Student Details'!E46</f>
        <v xml:space="preserve"> SAHINABEGAUM NADAF</v>
      </c>
      <c r="M48" s="250">
        <f t="shared" si="9"/>
        <v>5</v>
      </c>
      <c r="N48" s="274">
        <f t="shared" si="10"/>
        <v>0.83333333333333337</v>
      </c>
      <c r="O48" s="264" t="str">
        <f t="shared" si="11"/>
        <v>Y</v>
      </c>
      <c r="P48" s="249">
        <f t="shared" si="12"/>
        <v>1</v>
      </c>
      <c r="Q48" s="274">
        <f t="shared" si="13"/>
        <v>0.1111111111111111</v>
      </c>
      <c r="R48" s="264" t="str">
        <f t="shared" si="14"/>
        <v>N</v>
      </c>
      <c r="S48" s="249">
        <f t="shared" si="15"/>
        <v>2</v>
      </c>
      <c r="T48" s="274">
        <f t="shared" si="16"/>
        <v>0.5</v>
      </c>
      <c r="U48" s="264" t="str">
        <f t="shared" si="17"/>
        <v>N</v>
      </c>
    </row>
    <row r="49" spans="2:21" s="64" customFormat="1" ht="20.100000000000001" customHeight="1">
      <c r="B49" s="263">
        <v>35</v>
      </c>
      <c r="C49" s="244" t="str">
        <f>'Student Details'!D47</f>
        <v xml:space="preserve"> 16EE048</v>
      </c>
      <c r="D49" s="244" t="str">
        <f>'Student Details'!E47</f>
        <v xml:space="preserve"> SANDEEP KUMAR MURMU</v>
      </c>
      <c r="E49">
        <v>1</v>
      </c>
      <c r="F49">
        <v>9</v>
      </c>
      <c r="G49">
        <v>3</v>
      </c>
      <c r="H49">
        <v>4</v>
      </c>
      <c r="I49" s="58"/>
      <c r="J49" s="242">
        <v>35</v>
      </c>
      <c r="K49" s="278" t="str">
        <f>'Student Details'!D47</f>
        <v xml:space="preserve"> 16EE048</v>
      </c>
      <c r="L49" s="278" t="str">
        <f>'Student Details'!E47</f>
        <v xml:space="preserve"> SANDEEP KUMAR MURMU</v>
      </c>
      <c r="M49" s="250">
        <f t="shared" si="9"/>
        <v>1</v>
      </c>
      <c r="N49" s="274">
        <f t="shared" si="10"/>
        <v>0.16666666666666666</v>
      </c>
      <c r="O49" s="264" t="str">
        <f t="shared" si="11"/>
        <v>N</v>
      </c>
      <c r="P49" s="249">
        <f t="shared" si="12"/>
        <v>12</v>
      </c>
      <c r="Q49" s="274">
        <f t="shared" si="13"/>
        <v>0.8</v>
      </c>
      <c r="R49" s="264" t="str">
        <f t="shared" si="14"/>
        <v>Y</v>
      </c>
      <c r="S49" s="249">
        <f t="shared" si="15"/>
        <v>4</v>
      </c>
      <c r="T49" s="274">
        <f t="shared" si="16"/>
        <v>1</v>
      </c>
      <c r="U49" s="264" t="str">
        <f t="shared" si="17"/>
        <v>Y</v>
      </c>
    </row>
    <row r="50" spans="2:21" s="64" customFormat="1" ht="20.100000000000001" customHeight="1">
      <c r="B50" s="263">
        <v>36</v>
      </c>
      <c r="C50" s="244" t="str">
        <f>'Student Details'!D48</f>
        <v xml:space="preserve"> 16EE049</v>
      </c>
      <c r="D50" s="244" t="str">
        <f>'Student Details'!E48</f>
        <v xml:space="preserve"> SHARIKA</v>
      </c>
      <c r="E50">
        <v>6</v>
      </c>
      <c r="F50">
        <v>2</v>
      </c>
      <c r="G50">
        <v>4</v>
      </c>
      <c r="H50">
        <v>4</v>
      </c>
      <c r="I50" s="58"/>
      <c r="J50" s="242">
        <v>36</v>
      </c>
      <c r="K50" s="278" t="str">
        <f>'Student Details'!D48</f>
        <v xml:space="preserve"> 16EE049</v>
      </c>
      <c r="L50" s="278" t="str">
        <f>'Student Details'!E48</f>
        <v xml:space="preserve"> SHARIKA</v>
      </c>
      <c r="M50" s="250">
        <f t="shared" si="9"/>
        <v>6</v>
      </c>
      <c r="N50" s="274">
        <f t="shared" si="10"/>
        <v>1</v>
      </c>
      <c r="O50" s="264" t="str">
        <f t="shared" si="11"/>
        <v>Y</v>
      </c>
      <c r="P50" s="249">
        <f t="shared" si="12"/>
        <v>6</v>
      </c>
      <c r="Q50" s="274">
        <f t="shared" si="13"/>
        <v>0.4</v>
      </c>
      <c r="R50" s="264" t="str">
        <f t="shared" si="14"/>
        <v>N</v>
      </c>
      <c r="S50" s="249">
        <f t="shared" si="15"/>
        <v>4</v>
      </c>
      <c r="T50" s="274">
        <f t="shared" si="16"/>
        <v>1</v>
      </c>
      <c r="U50" s="264" t="str">
        <f t="shared" si="17"/>
        <v>Y</v>
      </c>
    </row>
    <row r="51" spans="2:21" s="64" customFormat="1" ht="20.100000000000001" customHeight="1">
      <c r="B51" s="263">
        <v>37</v>
      </c>
      <c r="C51" s="244" t="str">
        <f>'Student Details'!D49</f>
        <v xml:space="preserve"> 16EE050</v>
      </c>
      <c r="D51" s="244" t="str">
        <f>'Student Details'!E49</f>
        <v xml:space="preserve"> SHWETHA R JAGADALE</v>
      </c>
      <c r="E51">
        <v>6</v>
      </c>
      <c r="F51">
        <v>9</v>
      </c>
      <c r="G51">
        <v>3</v>
      </c>
      <c r="H51"/>
      <c r="I51" s="58"/>
      <c r="J51" s="242">
        <v>37</v>
      </c>
      <c r="K51" s="278" t="str">
        <f>'Student Details'!D49</f>
        <v xml:space="preserve"> 16EE050</v>
      </c>
      <c r="L51" s="278" t="str">
        <f>'Student Details'!E49</f>
        <v xml:space="preserve"> SHWETHA R JAGADALE</v>
      </c>
      <c r="M51" s="250">
        <f t="shared" si="9"/>
        <v>6</v>
      </c>
      <c r="N51" s="274">
        <f t="shared" si="10"/>
        <v>1</v>
      </c>
      <c r="O51" s="264" t="str">
        <f t="shared" si="11"/>
        <v>Y</v>
      </c>
      <c r="P51" s="249">
        <f t="shared" si="12"/>
        <v>12</v>
      </c>
      <c r="Q51" s="274">
        <f t="shared" si="13"/>
        <v>0.8</v>
      </c>
      <c r="R51" s="264" t="str">
        <f t="shared" si="14"/>
        <v>Y</v>
      </c>
      <c r="S51" s="249" t="str">
        <f t="shared" si="15"/>
        <v>NA</v>
      </c>
      <c r="T51" s="274" t="str">
        <f t="shared" si="16"/>
        <v>NA</v>
      </c>
      <c r="U51" s="264" t="str">
        <f t="shared" si="17"/>
        <v>NA</v>
      </c>
    </row>
    <row r="52" spans="2:21" s="64" customFormat="1" ht="20.100000000000001" customHeight="1">
      <c r="B52" s="263">
        <v>38</v>
      </c>
      <c r="C52" s="244" t="str">
        <f>'Student Details'!D50</f>
        <v xml:space="preserve"> 16EE051</v>
      </c>
      <c r="D52" s="244" t="str">
        <f>'Student Details'!E50</f>
        <v xml:space="preserve"> SUCHITRA</v>
      </c>
      <c r="E52">
        <v>6</v>
      </c>
      <c r="F52">
        <v>9</v>
      </c>
      <c r="G52">
        <v>5</v>
      </c>
      <c r="H52">
        <v>3</v>
      </c>
      <c r="I52" s="58"/>
      <c r="J52" s="242">
        <v>38</v>
      </c>
      <c r="K52" s="278" t="str">
        <f>'Student Details'!D50</f>
        <v xml:space="preserve"> 16EE051</v>
      </c>
      <c r="L52" s="278" t="str">
        <f>'Student Details'!E50</f>
        <v xml:space="preserve"> SUCHITRA</v>
      </c>
      <c r="M52" s="250">
        <f t="shared" si="9"/>
        <v>6</v>
      </c>
      <c r="N52" s="274">
        <f t="shared" si="10"/>
        <v>1</v>
      </c>
      <c r="O52" s="264" t="str">
        <f t="shared" si="11"/>
        <v>Y</v>
      </c>
      <c r="P52" s="249">
        <f t="shared" si="12"/>
        <v>14</v>
      </c>
      <c r="Q52" s="274">
        <f t="shared" si="13"/>
        <v>0.93333333333333335</v>
      </c>
      <c r="R52" s="264" t="str">
        <f t="shared" si="14"/>
        <v>Y</v>
      </c>
      <c r="S52" s="249">
        <f t="shared" si="15"/>
        <v>3</v>
      </c>
      <c r="T52" s="274">
        <f t="shared" si="16"/>
        <v>0.75</v>
      </c>
      <c r="U52" s="264" t="str">
        <f t="shared" si="17"/>
        <v>Y</v>
      </c>
    </row>
    <row r="53" spans="2:21" s="64" customFormat="1" ht="20.100000000000001" customHeight="1">
      <c r="B53" s="263">
        <v>39</v>
      </c>
      <c r="C53" s="244" t="str">
        <f>'Student Details'!D51</f>
        <v xml:space="preserve"> 16EE052</v>
      </c>
      <c r="D53" s="244" t="str">
        <f>'Student Details'!E51</f>
        <v xml:space="preserve"> SWATHI RAMESH R</v>
      </c>
      <c r="E53">
        <v>6</v>
      </c>
      <c r="F53">
        <v>7</v>
      </c>
      <c r="G53"/>
      <c r="H53">
        <v>1</v>
      </c>
      <c r="I53" s="58"/>
      <c r="J53" s="242">
        <v>39</v>
      </c>
      <c r="K53" s="278" t="str">
        <f>'Student Details'!D51</f>
        <v xml:space="preserve"> 16EE052</v>
      </c>
      <c r="L53" s="278" t="str">
        <f>'Student Details'!E51</f>
        <v xml:space="preserve"> SWATHI RAMESH R</v>
      </c>
      <c r="M53" s="250">
        <f t="shared" si="9"/>
        <v>6</v>
      </c>
      <c r="N53" s="274">
        <f t="shared" si="10"/>
        <v>1</v>
      </c>
      <c r="O53" s="264" t="str">
        <f t="shared" si="11"/>
        <v>Y</v>
      </c>
      <c r="P53" s="249">
        <f t="shared" si="12"/>
        <v>7</v>
      </c>
      <c r="Q53" s="274">
        <f t="shared" si="13"/>
        <v>0.77777777777777779</v>
      </c>
      <c r="R53" s="264" t="str">
        <f t="shared" si="14"/>
        <v>Y</v>
      </c>
      <c r="S53" s="249">
        <f t="shared" si="15"/>
        <v>1</v>
      </c>
      <c r="T53" s="274">
        <f t="shared" si="16"/>
        <v>0.25</v>
      </c>
      <c r="U53" s="264" t="str">
        <f t="shared" si="17"/>
        <v>N</v>
      </c>
    </row>
    <row r="54" spans="2:21" s="64" customFormat="1" ht="20.100000000000001" customHeight="1">
      <c r="B54" s="263">
        <v>40</v>
      </c>
      <c r="C54" s="244" t="str">
        <f>'Student Details'!D52</f>
        <v xml:space="preserve"> 16EE053</v>
      </c>
      <c r="D54" s="244" t="str">
        <f>'Student Details'!E52</f>
        <v xml:space="preserve"> TABREZ ALLAM</v>
      </c>
      <c r="E54"/>
      <c r="F54"/>
      <c r="G54"/>
      <c r="H54">
        <v>3</v>
      </c>
      <c r="I54" s="58"/>
      <c r="J54" s="242">
        <v>40</v>
      </c>
      <c r="K54" s="278" t="str">
        <f>'Student Details'!D52</f>
        <v xml:space="preserve"> 16EE053</v>
      </c>
      <c r="L54" s="278" t="str">
        <f>'Student Details'!E52</f>
        <v xml:space="preserve"> TABREZ ALLAM</v>
      </c>
      <c r="M54" s="250" t="str">
        <f t="shared" si="9"/>
        <v>NA</v>
      </c>
      <c r="N54" s="274" t="str">
        <f t="shared" si="10"/>
        <v>NA</v>
      </c>
      <c r="O54" s="264" t="str">
        <f t="shared" si="11"/>
        <v>NA</v>
      </c>
      <c r="P54" s="249" t="str">
        <f t="shared" si="12"/>
        <v>NA</v>
      </c>
      <c r="Q54" s="274" t="str">
        <f t="shared" si="13"/>
        <v>NA</v>
      </c>
      <c r="R54" s="264" t="str">
        <f t="shared" si="14"/>
        <v>NA</v>
      </c>
      <c r="S54" s="249">
        <f t="shared" si="15"/>
        <v>3</v>
      </c>
      <c r="T54" s="274">
        <f t="shared" si="16"/>
        <v>0.75</v>
      </c>
      <c r="U54" s="264" t="str">
        <f t="shared" si="17"/>
        <v>Y</v>
      </c>
    </row>
    <row r="55" spans="2:21" s="64" customFormat="1" ht="20.100000000000001" customHeight="1">
      <c r="B55" s="263">
        <v>41</v>
      </c>
      <c r="C55" s="244" t="str">
        <f>'Student Details'!D53</f>
        <v xml:space="preserve"> 16EE054</v>
      </c>
      <c r="D55" s="244" t="str">
        <f>'Student Details'!E53</f>
        <v xml:space="preserve"> VENKATESH H</v>
      </c>
      <c r="E55">
        <v>6</v>
      </c>
      <c r="F55">
        <v>9</v>
      </c>
      <c r="G55">
        <v>6</v>
      </c>
      <c r="H55">
        <v>3</v>
      </c>
      <c r="I55" s="58"/>
      <c r="J55" s="242">
        <v>41</v>
      </c>
      <c r="K55" s="278" t="str">
        <f>'Student Details'!D53</f>
        <v xml:space="preserve"> 16EE054</v>
      </c>
      <c r="L55" s="278" t="str">
        <f>'Student Details'!E53</f>
        <v xml:space="preserve"> VENKATESH H</v>
      </c>
      <c r="M55" s="250">
        <f t="shared" si="9"/>
        <v>6</v>
      </c>
      <c r="N55" s="274">
        <f t="shared" si="10"/>
        <v>1</v>
      </c>
      <c r="O55" s="264" t="str">
        <f t="shared" si="11"/>
        <v>Y</v>
      </c>
      <c r="P55" s="249">
        <f t="shared" si="12"/>
        <v>15</v>
      </c>
      <c r="Q55" s="274">
        <f t="shared" si="13"/>
        <v>1</v>
      </c>
      <c r="R55" s="264" t="str">
        <f t="shared" si="14"/>
        <v>Y</v>
      </c>
      <c r="S55" s="249">
        <f t="shared" si="15"/>
        <v>3</v>
      </c>
      <c r="T55" s="274">
        <f t="shared" si="16"/>
        <v>0.75</v>
      </c>
      <c r="U55" s="264" t="str">
        <f t="shared" si="17"/>
        <v>Y</v>
      </c>
    </row>
    <row r="56" spans="2:21" s="64" customFormat="1" ht="20.100000000000001" customHeight="1">
      <c r="B56" s="263">
        <v>42</v>
      </c>
      <c r="C56" s="244" t="str">
        <f>'Student Details'!D54</f>
        <v xml:space="preserve"> 16EE055</v>
      </c>
      <c r="D56" s="244" t="str">
        <f>'Student Details'!E54</f>
        <v xml:space="preserve"> VIDYA I K</v>
      </c>
      <c r="E56">
        <v>0</v>
      </c>
      <c r="F56">
        <v>2</v>
      </c>
      <c r="G56"/>
      <c r="H56">
        <v>2</v>
      </c>
      <c r="I56" s="58"/>
      <c r="J56" s="242">
        <v>42</v>
      </c>
      <c r="K56" s="278" t="str">
        <f>'Student Details'!D54</f>
        <v xml:space="preserve"> 16EE055</v>
      </c>
      <c r="L56" s="278" t="str">
        <f>'Student Details'!E54</f>
        <v xml:space="preserve"> VIDYA I K</v>
      </c>
      <c r="M56" s="250" t="str">
        <f t="shared" si="9"/>
        <v>NA</v>
      </c>
      <c r="N56" s="274" t="str">
        <f t="shared" si="10"/>
        <v>NA</v>
      </c>
      <c r="O56" s="264" t="str">
        <f t="shared" si="11"/>
        <v>NA</v>
      </c>
      <c r="P56" s="249">
        <f t="shared" si="12"/>
        <v>2</v>
      </c>
      <c r="Q56" s="274">
        <f t="shared" si="13"/>
        <v>0.22222222222222221</v>
      </c>
      <c r="R56" s="264" t="str">
        <f t="shared" si="14"/>
        <v>N</v>
      </c>
      <c r="S56" s="249">
        <f t="shared" si="15"/>
        <v>2</v>
      </c>
      <c r="T56" s="274">
        <f t="shared" si="16"/>
        <v>0.5</v>
      </c>
      <c r="U56" s="264" t="str">
        <f t="shared" si="17"/>
        <v>N</v>
      </c>
    </row>
    <row r="57" spans="2:21" s="64" customFormat="1" ht="20.100000000000001" customHeight="1">
      <c r="B57" s="263">
        <v>43</v>
      </c>
      <c r="C57" s="244" t="str">
        <f>'Student Details'!D55</f>
        <v xml:space="preserve"> 16EE056</v>
      </c>
      <c r="D57" s="244" t="str">
        <f>'Student Details'!E55</f>
        <v xml:space="preserve"> YAMUNA S R</v>
      </c>
      <c r="E57">
        <v>6</v>
      </c>
      <c r="F57">
        <v>9</v>
      </c>
      <c r="G57">
        <v>4</v>
      </c>
      <c r="H57">
        <v>4</v>
      </c>
      <c r="I57" s="58"/>
      <c r="J57" s="242">
        <v>43</v>
      </c>
      <c r="K57" s="278" t="str">
        <f>'Student Details'!D55</f>
        <v xml:space="preserve"> 16EE056</v>
      </c>
      <c r="L57" s="278" t="str">
        <f>'Student Details'!E55</f>
        <v xml:space="preserve"> YAMUNA S R</v>
      </c>
      <c r="M57" s="250">
        <f t="shared" si="9"/>
        <v>6</v>
      </c>
      <c r="N57" s="274">
        <f t="shared" si="10"/>
        <v>1</v>
      </c>
      <c r="O57" s="264" t="str">
        <f t="shared" si="11"/>
        <v>Y</v>
      </c>
      <c r="P57" s="249">
        <f t="shared" si="12"/>
        <v>13</v>
      </c>
      <c r="Q57" s="274">
        <f t="shared" si="13"/>
        <v>0.8666666666666667</v>
      </c>
      <c r="R57" s="264" t="str">
        <f t="shared" si="14"/>
        <v>Y</v>
      </c>
      <c r="S57" s="249">
        <f t="shared" si="15"/>
        <v>4</v>
      </c>
      <c r="T57" s="274">
        <f t="shared" si="16"/>
        <v>1</v>
      </c>
      <c r="U57" s="264" t="str">
        <f t="shared" si="17"/>
        <v>Y</v>
      </c>
    </row>
    <row r="58" spans="2:21" s="64" customFormat="1" ht="20.100000000000001" customHeight="1">
      <c r="B58" s="263">
        <v>44</v>
      </c>
      <c r="C58" s="244" t="str">
        <f>'Student Details'!D56</f>
        <v xml:space="preserve"> 16EE061</v>
      </c>
      <c r="D58" s="244" t="str">
        <f>'Student Details'!E56</f>
        <v xml:space="preserve"> NAYANA T A</v>
      </c>
      <c r="E58">
        <v>6</v>
      </c>
      <c r="F58"/>
      <c r="G58">
        <v>0</v>
      </c>
      <c r="H58">
        <v>2</v>
      </c>
      <c r="I58" s="58"/>
      <c r="J58" s="242">
        <v>44</v>
      </c>
      <c r="K58" s="278" t="str">
        <f>'Student Details'!D56</f>
        <v xml:space="preserve"> 16EE061</v>
      </c>
      <c r="L58" s="278" t="str">
        <f>'Student Details'!E56</f>
        <v xml:space="preserve"> NAYANA T A</v>
      </c>
      <c r="M58" s="250">
        <f t="shared" si="9"/>
        <v>6</v>
      </c>
      <c r="N58" s="274">
        <f t="shared" si="10"/>
        <v>1</v>
      </c>
      <c r="O58" s="264" t="str">
        <f t="shared" si="11"/>
        <v>Y</v>
      </c>
      <c r="P58" s="249" t="str">
        <f t="shared" si="12"/>
        <v>NA</v>
      </c>
      <c r="Q58" s="274" t="str">
        <f t="shared" si="13"/>
        <v>NA</v>
      </c>
      <c r="R58" s="264" t="str">
        <f t="shared" si="14"/>
        <v>NA</v>
      </c>
      <c r="S58" s="249">
        <f t="shared" si="15"/>
        <v>2</v>
      </c>
      <c r="T58" s="274">
        <f t="shared" si="16"/>
        <v>0.5</v>
      </c>
      <c r="U58" s="264" t="str">
        <f t="shared" si="17"/>
        <v>N</v>
      </c>
    </row>
    <row r="59" spans="2:21" s="64" customFormat="1" ht="20.100000000000001" customHeight="1">
      <c r="B59" s="263">
        <v>45</v>
      </c>
      <c r="C59" s="244" t="str">
        <f>'Student Details'!D57</f>
        <v xml:space="preserve"> 16EE062</v>
      </c>
      <c r="D59" s="244" t="str">
        <f>'Student Details'!E57</f>
        <v xml:space="preserve"> AISHWARIYA</v>
      </c>
      <c r="E59">
        <v>6</v>
      </c>
      <c r="F59">
        <v>9</v>
      </c>
      <c r="G59">
        <v>6</v>
      </c>
      <c r="H59">
        <v>4</v>
      </c>
      <c r="I59" s="58"/>
      <c r="J59" s="242">
        <v>45</v>
      </c>
      <c r="K59" s="278" t="str">
        <f>'Student Details'!D57</f>
        <v xml:space="preserve"> 16EE062</v>
      </c>
      <c r="L59" s="278" t="str">
        <f>'Student Details'!E57</f>
        <v xml:space="preserve"> AISHWARIYA</v>
      </c>
      <c r="M59" s="250">
        <f t="shared" si="9"/>
        <v>6</v>
      </c>
      <c r="N59" s="274">
        <f t="shared" si="10"/>
        <v>1</v>
      </c>
      <c r="O59" s="264" t="str">
        <f t="shared" si="11"/>
        <v>Y</v>
      </c>
      <c r="P59" s="249">
        <f t="shared" si="12"/>
        <v>15</v>
      </c>
      <c r="Q59" s="274">
        <f t="shared" si="13"/>
        <v>1</v>
      </c>
      <c r="R59" s="264" t="str">
        <f t="shared" si="14"/>
        <v>Y</v>
      </c>
      <c r="S59" s="249">
        <f t="shared" si="15"/>
        <v>4</v>
      </c>
      <c r="T59" s="274">
        <f t="shared" si="16"/>
        <v>1</v>
      </c>
      <c r="U59" s="264" t="str">
        <f t="shared" si="17"/>
        <v>Y</v>
      </c>
    </row>
    <row r="60" spans="2:21" s="64" customFormat="1" ht="20.100000000000001" customHeight="1">
      <c r="B60" s="263">
        <v>46</v>
      </c>
      <c r="C60" s="244" t="str">
        <f>'Student Details'!D58</f>
        <v xml:space="preserve"> 16EE063</v>
      </c>
      <c r="D60" s="244" t="str">
        <f>'Student Details'!E58</f>
        <v xml:space="preserve"> T N RANJEET</v>
      </c>
      <c r="E60">
        <v>4</v>
      </c>
      <c r="F60">
        <v>7</v>
      </c>
      <c r="G60">
        <v>0</v>
      </c>
      <c r="H60">
        <v>1</v>
      </c>
      <c r="I60" s="58"/>
      <c r="J60" s="242">
        <v>46</v>
      </c>
      <c r="K60" s="278" t="str">
        <f>'Student Details'!D58</f>
        <v xml:space="preserve"> 16EE063</v>
      </c>
      <c r="L60" s="278" t="str">
        <f>'Student Details'!E58</f>
        <v xml:space="preserve"> T N RANJEET</v>
      </c>
      <c r="M60" s="250">
        <f t="shared" si="9"/>
        <v>4</v>
      </c>
      <c r="N60" s="274">
        <f t="shared" si="10"/>
        <v>0.66666666666666663</v>
      </c>
      <c r="O60" s="264" t="str">
        <f t="shared" si="11"/>
        <v>Y</v>
      </c>
      <c r="P60" s="249">
        <f t="shared" si="12"/>
        <v>7</v>
      </c>
      <c r="Q60" s="274">
        <f t="shared" si="13"/>
        <v>0.77777777777777779</v>
      </c>
      <c r="R60" s="264" t="str">
        <f t="shared" si="14"/>
        <v>Y</v>
      </c>
      <c r="S60" s="249">
        <f t="shared" si="15"/>
        <v>1</v>
      </c>
      <c r="T60" s="274">
        <f t="shared" si="16"/>
        <v>0.25</v>
      </c>
      <c r="U60" s="264" t="str">
        <f t="shared" si="17"/>
        <v>N</v>
      </c>
    </row>
    <row r="61" spans="2:21" s="64" customFormat="1" ht="20.100000000000001" customHeight="1">
      <c r="B61" s="263">
        <v>47</v>
      </c>
      <c r="C61" s="244" t="str">
        <f>'Student Details'!D59</f>
        <v xml:space="preserve"> 16EE064</v>
      </c>
      <c r="D61" s="244" t="str">
        <f>'Student Details'!E59</f>
        <v xml:space="preserve"> VIDYASHRI S</v>
      </c>
      <c r="E61">
        <v>6</v>
      </c>
      <c r="F61">
        <v>4</v>
      </c>
      <c r="G61">
        <v>3</v>
      </c>
      <c r="H61">
        <v>2</v>
      </c>
      <c r="I61" s="58"/>
      <c r="J61" s="242">
        <v>47</v>
      </c>
      <c r="K61" s="278" t="str">
        <f>'Student Details'!D59</f>
        <v xml:space="preserve"> 16EE064</v>
      </c>
      <c r="L61" s="278" t="str">
        <f>'Student Details'!E59</f>
        <v xml:space="preserve"> VIDYASHRI S</v>
      </c>
      <c r="M61" s="250">
        <f t="shared" si="9"/>
        <v>6</v>
      </c>
      <c r="N61" s="274">
        <f t="shared" si="10"/>
        <v>1</v>
      </c>
      <c r="O61" s="264" t="str">
        <f t="shared" si="11"/>
        <v>Y</v>
      </c>
      <c r="P61" s="249">
        <f t="shared" si="12"/>
        <v>7</v>
      </c>
      <c r="Q61" s="274">
        <f t="shared" si="13"/>
        <v>0.46666666666666667</v>
      </c>
      <c r="R61" s="264" t="str">
        <f t="shared" si="14"/>
        <v>N</v>
      </c>
      <c r="S61" s="249">
        <f t="shared" si="15"/>
        <v>2</v>
      </c>
      <c r="T61" s="274">
        <f t="shared" si="16"/>
        <v>0.5</v>
      </c>
      <c r="U61" s="264" t="str">
        <f t="shared" si="17"/>
        <v>N</v>
      </c>
    </row>
    <row r="62" spans="2:21" s="64" customFormat="1" ht="20.100000000000001" customHeight="1">
      <c r="B62" s="263">
        <v>48</v>
      </c>
      <c r="C62" s="244" t="str">
        <f>'Student Details'!D60</f>
        <v xml:space="preserve"> 16EE409</v>
      </c>
      <c r="D62" s="244" t="str">
        <f>'Student Details'!E60</f>
        <v xml:space="preserve"> MANIKANTA HEGDE N</v>
      </c>
      <c r="E62"/>
      <c r="F62">
        <v>4</v>
      </c>
      <c r="G62"/>
      <c r="H62">
        <v>3</v>
      </c>
      <c r="I62" s="58"/>
      <c r="J62" s="242">
        <v>48</v>
      </c>
      <c r="K62" s="278" t="str">
        <f>'Student Details'!D60</f>
        <v xml:space="preserve"> 16EE409</v>
      </c>
      <c r="L62" s="278" t="str">
        <f>'Student Details'!E60</f>
        <v xml:space="preserve"> MANIKANTA HEGDE N</v>
      </c>
      <c r="M62" s="250" t="str">
        <f t="shared" si="9"/>
        <v>NA</v>
      </c>
      <c r="N62" s="274" t="str">
        <f t="shared" si="10"/>
        <v>NA</v>
      </c>
      <c r="O62" s="264" t="str">
        <f t="shared" si="11"/>
        <v>NA</v>
      </c>
      <c r="P62" s="249">
        <f t="shared" si="12"/>
        <v>4</v>
      </c>
      <c r="Q62" s="274">
        <f t="shared" si="13"/>
        <v>0.44444444444444442</v>
      </c>
      <c r="R62" s="264" t="str">
        <f t="shared" si="14"/>
        <v>N</v>
      </c>
      <c r="S62" s="249">
        <f t="shared" si="15"/>
        <v>3</v>
      </c>
      <c r="T62" s="274">
        <f t="shared" si="16"/>
        <v>0.75</v>
      </c>
      <c r="U62" s="264" t="str">
        <f t="shared" si="17"/>
        <v>Y</v>
      </c>
    </row>
    <row r="63" spans="2:21" s="64" customFormat="1" ht="20.100000000000001" customHeight="1">
      <c r="B63" s="263">
        <v>49</v>
      </c>
      <c r="C63" s="244" t="str">
        <f>'Student Details'!D61</f>
        <v xml:space="preserve"> 16EE410</v>
      </c>
      <c r="D63" s="244" t="str">
        <f>'Student Details'!E61</f>
        <v xml:space="preserve"> PADMA PRASAD K.L</v>
      </c>
      <c r="E63">
        <v>3</v>
      </c>
      <c r="F63">
        <v>3</v>
      </c>
      <c r="G63"/>
      <c r="H63">
        <v>2</v>
      </c>
      <c r="I63" s="58"/>
      <c r="J63" s="242">
        <v>49</v>
      </c>
      <c r="K63" s="278" t="str">
        <f>'Student Details'!D61</f>
        <v xml:space="preserve"> 16EE410</v>
      </c>
      <c r="L63" s="278" t="str">
        <f>'Student Details'!E61</f>
        <v xml:space="preserve"> PADMA PRASAD K.L</v>
      </c>
      <c r="M63" s="250">
        <f t="shared" si="9"/>
        <v>3</v>
      </c>
      <c r="N63" s="274">
        <f t="shared" si="10"/>
        <v>0.5</v>
      </c>
      <c r="O63" s="264" t="str">
        <f t="shared" si="11"/>
        <v>N</v>
      </c>
      <c r="P63" s="249">
        <f t="shared" si="12"/>
        <v>3</v>
      </c>
      <c r="Q63" s="274">
        <f t="shared" si="13"/>
        <v>0.33333333333333331</v>
      </c>
      <c r="R63" s="264" t="str">
        <f t="shared" si="14"/>
        <v>N</v>
      </c>
      <c r="S63" s="249">
        <f t="shared" si="15"/>
        <v>2</v>
      </c>
      <c r="T63" s="274">
        <f t="shared" si="16"/>
        <v>0.5</v>
      </c>
      <c r="U63" s="264" t="str">
        <f t="shared" si="17"/>
        <v>N</v>
      </c>
    </row>
    <row r="64" spans="2:21" s="64" customFormat="1" ht="20.100000000000001" customHeight="1">
      <c r="B64" s="263">
        <v>50</v>
      </c>
      <c r="C64" s="244" t="str">
        <f>'Student Details'!D62</f>
        <v xml:space="preserve"> 17EE400</v>
      </c>
      <c r="D64" s="244" t="str">
        <f>'Student Details'!E62</f>
        <v xml:space="preserve"> AKASH M</v>
      </c>
      <c r="E64"/>
      <c r="F64">
        <v>7</v>
      </c>
      <c r="G64"/>
      <c r="H64">
        <v>4</v>
      </c>
      <c r="I64" s="58"/>
      <c r="J64" s="242">
        <v>50</v>
      </c>
      <c r="K64" s="278" t="str">
        <f>'Student Details'!D62</f>
        <v xml:space="preserve"> 17EE400</v>
      </c>
      <c r="L64" s="278" t="str">
        <f>'Student Details'!E62</f>
        <v xml:space="preserve"> AKASH M</v>
      </c>
      <c r="M64" s="250" t="str">
        <f t="shared" si="9"/>
        <v>NA</v>
      </c>
      <c r="N64" s="274" t="str">
        <f t="shared" si="10"/>
        <v>NA</v>
      </c>
      <c r="O64" s="264" t="str">
        <f t="shared" si="11"/>
        <v>NA</v>
      </c>
      <c r="P64" s="249">
        <f t="shared" si="12"/>
        <v>7</v>
      </c>
      <c r="Q64" s="274">
        <f t="shared" si="13"/>
        <v>0.77777777777777779</v>
      </c>
      <c r="R64" s="264" t="str">
        <f t="shared" si="14"/>
        <v>Y</v>
      </c>
      <c r="S64" s="249">
        <f t="shared" si="15"/>
        <v>4</v>
      </c>
      <c r="T64" s="274">
        <f t="shared" si="16"/>
        <v>1</v>
      </c>
      <c r="U64" s="264" t="str">
        <f t="shared" si="17"/>
        <v>Y</v>
      </c>
    </row>
    <row r="65" spans="2:34" s="64" customFormat="1" ht="20.100000000000001" customHeight="1">
      <c r="B65" s="263">
        <v>51</v>
      </c>
      <c r="C65" s="244" t="str">
        <f>'Student Details'!D63</f>
        <v xml:space="preserve"> 17EE401</v>
      </c>
      <c r="D65" s="244" t="str">
        <f>'Student Details'!E63</f>
        <v xml:space="preserve"> AMITH MAHAGAVNKAR</v>
      </c>
      <c r="E65">
        <v>6</v>
      </c>
      <c r="F65">
        <v>9</v>
      </c>
      <c r="G65">
        <v>3</v>
      </c>
      <c r="H65">
        <v>4</v>
      </c>
      <c r="I65" s="58"/>
      <c r="J65" s="242">
        <v>51</v>
      </c>
      <c r="K65" s="278" t="str">
        <f>'Student Details'!D63</f>
        <v xml:space="preserve"> 17EE401</v>
      </c>
      <c r="L65" s="278" t="str">
        <f>'Student Details'!E63</f>
        <v xml:space="preserve"> AMITH MAHAGAVNKAR</v>
      </c>
      <c r="M65" s="250">
        <f t="shared" si="9"/>
        <v>6</v>
      </c>
      <c r="N65" s="274">
        <f t="shared" si="10"/>
        <v>1</v>
      </c>
      <c r="O65" s="264" t="str">
        <f t="shared" si="11"/>
        <v>Y</v>
      </c>
      <c r="P65" s="249">
        <f t="shared" si="12"/>
        <v>12</v>
      </c>
      <c r="Q65" s="274">
        <f t="shared" si="13"/>
        <v>0.8</v>
      </c>
      <c r="R65" s="264" t="str">
        <f t="shared" si="14"/>
        <v>Y</v>
      </c>
      <c r="S65" s="249">
        <f t="shared" si="15"/>
        <v>4</v>
      </c>
      <c r="T65" s="274">
        <f t="shared" si="16"/>
        <v>1</v>
      </c>
      <c r="U65" s="264" t="str">
        <f t="shared" si="17"/>
        <v>Y</v>
      </c>
    </row>
    <row r="66" spans="2:34" s="64" customFormat="1" ht="20.100000000000001" customHeight="1">
      <c r="B66" s="263">
        <v>52</v>
      </c>
      <c r="C66" s="244" t="str">
        <f>'Student Details'!D64</f>
        <v xml:space="preserve"> 17EE402</v>
      </c>
      <c r="D66" s="244" t="str">
        <f>'Student Details'!E64</f>
        <v xml:space="preserve"> DEVIKARANI M C</v>
      </c>
      <c r="E66">
        <v>1</v>
      </c>
      <c r="F66">
        <v>2</v>
      </c>
      <c r="G66">
        <v>4</v>
      </c>
      <c r="H66">
        <v>4</v>
      </c>
      <c r="I66" s="58"/>
      <c r="J66" s="242">
        <v>52</v>
      </c>
      <c r="K66" s="278" t="str">
        <f>'Student Details'!D64</f>
        <v xml:space="preserve"> 17EE402</v>
      </c>
      <c r="L66" s="278" t="str">
        <f>'Student Details'!E64</f>
        <v xml:space="preserve"> DEVIKARANI M C</v>
      </c>
      <c r="M66" s="250">
        <f t="shared" si="9"/>
        <v>1</v>
      </c>
      <c r="N66" s="274">
        <f t="shared" si="10"/>
        <v>0.16666666666666666</v>
      </c>
      <c r="O66" s="264" t="str">
        <f t="shared" si="11"/>
        <v>N</v>
      </c>
      <c r="P66" s="249">
        <f t="shared" si="12"/>
        <v>6</v>
      </c>
      <c r="Q66" s="274">
        <f t="shared" si="13"/>
        <v>0.4</v>
      </c>
      <c r="R66" s="264" t="str">
        <f t="shared" si="14"/>
        <v>N</v>
      </c>
      <c r="S66" s="249">
        <f t="shared" si="15"/>
        <v>4</v>
      </c>
      <c r="T66" s="274">
        <f t="shared" si="16"/>
        <v>1</v>
      </c>
      <c r="U66" s="264" t="str">
        <f t="shared" si="17"/>
        <v>Y</v>
      </c>
    </row>
    <row r="67" spans="2:34" s="64" customFormat="1" ht="20.100000000000001" customHeight="1">
      <c r="B67" s="263">
        <v>53</v>
      </c>
      <c r="C67" s="244" t="str">
        <f>'Student Details'!D65</f>
        <v xml:space="preserve"> 17EE403</v>
      </c>
      <c r="D67" s="244" t="str">
        <f>'Student Details'!E65</f>
        <v xml:space="preserve"> HAMSALEKHA V S</v>
      </c>
      <c r="E67">
        <v>4</v>
      </c>
      <c r="F67">
        <v>6</v>
      </c>
      <c r="G67"/>
      <c r="H67">
        <v>4</v>
      </c>
      <c r="I67" s="58"/>
      <c r="J67" s="242">
        <v>53</v>
      </c>
      <c r="K67" s="278" t="str">
        <f>'Student Details'!D65</f>
        <v xml:space="preserve"> 17EE403</v>
      </c>
      <c r="L67" s="278" t="str">
        <f>'Student Details'!E65</f>
        <v xml:space="preserve"> HAMSALEKHA V S</v>
      </c>
      <c r="M67" s="250">
        <f t="shared" si="9"/>
        <v>4</v>
      </c>
      <c r="N67" s="274">
        <f t="shared" si="10"/>
        <v>0.66666666666666663</v>
      </c>
      <c r="O67" s="264" t="str">
        <f t="shared" si="11"/>
        <v>Y</v>
      </c>
      <c r="P67" s="249">
        <f t="shared" si="12"/>
        <v>6</v>
      </c>
      <c r="Q67" s="274">
        <f t="shared" si="13"/>
        <v>0.66666666666666663</v>
      </c>
      <c r="R67" s="264" t="str">
        <f t="shared" si="14"/>
        <v>Y</v>
      </c>
      <c r="S67" s="249">
        <f t="shared" si="15"/>
        <v>4</v>
      </c>
      <c r="T67" s="274">
        <f t="shared" si="16"/>
        <v>1</v>
      </c>
      <c r="U67" s="264" t="str">
        <f t="shared" si="17"/>
        <v>Y</v>
      </c>
    </row>
    <row r="68" spans="2:34" s="64" customFormat="1" ht="20.100000000000001" customHeight="1">
      <c r="B68" s="263">
        <v>54</v>
      </c>
      <c r="C68" s="244" t="str">
        <f>'Student Details'!D66</f>
        <v xml:space="preserve"> 17EE404</v>
      </c>
      <c r="D68" s="244" t="str">
        <f>'Student Details'!E66</f>
        <v xml:space="preserve"> HARISH S</v>
      </c>
      <c r="E68">
        <v>0</v>
      </c>
      <c r="F68">
        <v>8</v>
      </c>
      <c r="G68"/>
      <c r="H68">
        <v>2</v>
      </c>
      <c r="I68" s="58"/>
      <c r="J68" s="242">
        <v>54</v>
      </c>
      <c r="K68" s="278" t="str">
        <f>'Student Details'!D66</f>
        <v xml:space="preserve"> 17EE404</v>
      </c>
      <c r="L68" s="278" t="str">
        <f>'Student Details'!E66</f>
        <v xml:space="preserve"> HARISH S</v>
      </c>
      <c r="M68" s="250" t="str">
        <f t="shared" si="9"/>
        <v>NA</v>
      </c>
      <c r="N68" s="274" t="str">
        <f t="shared" si="10"/>
        <v>NA</v>
      </c>
      <c r="O68" s="264" t="str">
        <f t="shared" si="11"/>
        <v>NA</v>
      </c>
      <c r="P68" s="249">
        <f t="shared" si="12"/>
        <v>8</v>
      </c>
      <c r="Q68" s="274">
        <f t="shared" si="13"/>
        <v>0.88888888888888884</v>
      </c>
      <c r="R68" s="264" t="str">
        <f t="shared" si="14"/>
        <v>Y</v>
      </c>
      <c r="S68" s="249">
        <f t="shared" si="15"/>
        <v>2</v>
      </c>
      <c r="T68" s="274">
        <f t="shared" si="16"/>
        <v>0.5</v>
      </c>
      <c r="U68" s="264" t="str">
        <f t="shared" si="17"/>
        <v>N</v>
      </c>
    </row>
    <row r="69" spans="2:34" s="64" customFormat="1" ht="20.100000000000001" customHeight="1">
      <c r="B69" s="263">
        <v>55</v>
      </c>
      <c r="C69" s="244" t="str">
        <f>'Student Details'!D67</f>
        <v xml:space="preserve"> 17EE405</v>
      </c>
      <c r="D69" s="244" t="str">
        <f>'Student Details'!E67</f>
        <v xml:space="preserve"> J ASIYA</v>
      </c>
      <c r="E69">
        <v>6</v>
      </c>
      <c r="F69">
        <v>9</v>
      </c>
      <c r="G69">
        <v>6</v>
      </c>
      <c r="H69">
        <v>4</v>
      </c>
      <c r="I69" s="58"/>
      <c r="J69" s="242">
        <v>55</v>
      </c>
      <c r="K69" s="278" t="str">
        <f>'Student Details'!D67</f>
        <v xml:space="preserve"> 17EE405</v>
      </c>
      <c r="L69" s="278" t="str">
        <f>'Student Details'!E67</f>
        <v xml:space="preserve"> J ASIYA</v>
      </c>
      <c r="M69" s="250">
        <f t="shared" si="9"/>
        <v>6</v>
      </c>
      <c r="N69" s="274">
        <f t="shared" si="10"/>
        <v>1</v>
      </c>
      <c r="O69" s="264" t="str">
        <f t="shared" si="11"/>
        <v>Y</v>
      </c>
      <c r="P69" s="249">
        <f t="shared" si="12"/>
        <v>15</v>
      </c>
      <c r="Q69" s="274">
        <f t="shared" si="13"/>
        <v>1</v>
      </c>
      <c r="R69" s="264" t="str">
        <f t="shared" si="14"/>
        <v>Y</v>
      </c>
      <c r="S69" s="249">
        <f t="shared" si="15"/>
        <v>4</v>
      </c>
      <c r="T69" s="274">
        <f t="shared" si="16"/>
        <v>1</v>
      </c>
      <c r="U69" s="264" t="str">
        <f t="shared" si="17"/>
        <v>Y</v>
      </c>
    </row>
    <row r="70" spans="2:34" s="64" customFormat="1" ht="20.100000000000001" customHeight="1">
      <c r="B70" s="263">
        <v>56</v>
      </c>
      <c r="C70" s="244" t="str">
        <f>'Student Details'!D68</f>
        <v xml:space="preserve"> 17EE406</v>
      </c>
      <c r="D70" s="244" t="str">
        <f>'Student Details'!E68</f>
        <v xml:space="preserve"> MANJUNATHA K</v>
      </c>
      <c r="E70">
        <v>6</v>
      </c>
      <c r="F70">
        <v>9</v>
      </c>
      <c r="G70"/>
      <c r="H70">
        <v>4</v>
      </c>
      <c r="I70" s="58"/>
      <c r="J70" s="242">
        <v>56</v>
      </c>
      <c r="K70" s="278" t="str">
        <f>'Student Details'!D68</f>
        <v xml:space="preserve"> 17EE406</v>
      </c>
      <c r="L70" s="278" t="str">
        <f>'Student Details'!E68</f>
        <v xml:space="preserve"> MANJUNATHA K</v>
      </c>
      <c r="M70" s="250">
        <f t="shared" si="9"/>
        <v>6</v>
      </c>
      <c r="N70" s="274">
        <f t="shared" si="10"/>
        <v>1</v>
      </c>
      <c r="O70" s="264" t="str">
        <f t="shared" si="11"/>
        <v>Y</v>
      </c>
      <c r="P70" s="249">
        <f t="shared" si="12"/>
        <v>9</v>
      </c>
      <c r="Q70" s="274">
        <f t="shared" si="13"/>
        <v>1</v>
      </c>
      <c r="R70" s="264" t="str">
        <f t="shared" si="14"/>
        <v>Y</v>
      </c>
      <c r="S70" s="249">
        <f t="shared" si="15"/>
        <v>4</v>
      </c>
      <c r="T70" s="274">
        <f t="shared" si="16"/>
        <v>1</v>
      </c>
      <c r="U70" s="264" t="str">
        <f t="shared" si="17"/>
        <v>Y</v>
      </c>
    </row>
    <row r="71" spans="2:34" s="64" customFormat="1" ht="20.100000000000001" customHeight="1">
      <c r="B71" s="263">
        <v>57</v>
      </c>
      <c r="C71" s="278" t="str">
        <f>'Student Details'!D69</f>
        <v xml:space="preserve"> 17EE408</v>
      </c>
      <c r="D71" s="278" t="str">
        <f>'Student Details'!E69</f>
        <v xml:space="preserve"> RAVINDRA</v>
      </c>
      <c r="E71">
        <v>1</v>
      </c>
      <c r="F71">
        <v>9</v>
      </c>
      <c r="G71"/>
      <c r="H71"/>
      <c r="I71" s="58"/>
      <c r="J71" s="242">
        <v>57</v>
      </c>
      <c r="K71" s="278" t="str">
        <f>'Student Details'!D69</f>
        <v xml:space="preserve"> 17EE408</v>
      </c>
      <c r="L71" s="278" t="str">
        <f>'Student Details'!E69</f>
        <v xml:space="preserve"> RAVINDRA</v>
      </c>
      <c r="M71" s="250">
        <f t="shared" si="9"/>
        <v>1</v>
      </c>
      <c r="N71" s="273">
        <f t="shared" si="10"/>
        <v>0.16666666666666666</v>
      </c>
      <c r="O71" s="266" t="str">
        <f t="shared" si="11"/>
        <v>N</v>
      </c>
      <c r="P71" s="249">
        <f t="shared" si="12"/>
        <v>9</v>
      </c>
      <c r="Q71" s="273">
        <f t="shared" si="13"/>
        <v>1</v>
      </c>
      <c r="R71" s="266" t="str">
        <f t="shared" si="14"/>
        <v>Y</v>
      </c>
      <c r="S71" s="249" t="str">
        <f t="shared" si="15"/>
        <v>NA</v>
      </c>
      <c r="T71" s="274" t="str">
        <f t="shared" si="16"/>
        <v>NA</v>
      </c>
      <c r="U71" s="264" t="str">
        <f t="shared" si="17"/>
        <v>NA</v>
      </c>
    </row>
    <row r="72" spans="2:34" s="64" customFormat="1" ht="20.100000000000001" customHeight="1">
      <c r="B72" s="263">
        <v>58</v>
      </c>
      <c r="C72" s="278" t="str">
        <f>'Student Details'!D70</f>
        <v xml:space="preserve"> 17EE409</v>
      </c>
      <c r="D72" s="278" t="str">
        <f>'Student Details'!E70</f>
        <v xml:space="preserve"> SAMARTHA NAVALE</v>
      </c>
      <c r="E72">
        <v>6</v>
      </c>
      <c r="F72">
        <v>3</v>
      </c>
      <c r="G72">
        <v>1</v>
      </c>
      <c r="H72">
        <v>2</v>
      </c>
      <c r="I72" s="58"/>
      <c r="J72" s="242">
        <v>58</v>
      </c>
      <c r="K72" s="278" t="str">
        <f>'Student Details'!D70</f>
        <v xml:space="preserve"> 17EE409</v>
      </c>
      <c r="L72" s="278" t="str">
        <f>'Student Details'!E70</f>
        <v xml:space="preserve"> SAMARTHA NAVALE</v>
      </c>
      <c r="M72" s="250">
        <f t="shared" si="9"/>
        <v>6</v>
      </c>
      <c r="N72" s="273">
        <f t="shared" si="10"/>
        <v>1</v>
      </c>
      <c r="O72" s="266" t="str">
        <f t="shared" si="11"/>
        <v>Y</v>
      </c>
      <c r="P72" s="249">
        <f t="shared" si="12"/>
        <v>4</v>
      </c>
      <c r="Q72" s="273">
        <f t="shared" si="13"/>
        <v>0.26666666666666666</v>
      </c>
      <c r="R72" s="266" t="str">
        <f t="shared" si="14"/>
        <v>N</v>
      </c>
      <c r="S72" s="249">
        <f t="shared" si="15"/>
        <v>2</v>
      </c>
      <c r="T72" s="274">
        <f t="shared" si="16"/>
        <v>0.5</v>
      </c>
      <c r="U72" s="264" t="str">
        <f t="shared" si="17"/>
        <v>N</v>
      </c>
    </row>
    <row r="73" spans="2:34" s="64" customFormat="1" ht="20.100000000000001" customHeight="1">
      <c r="B73" s="263">
        <v>59</v>
      </c>
      <c r="C73" s="278" t="str">
        <f>'Student Details'!D71</f>
        <v xml:space="preserve"> 17EE410</v>
      </c>
      <c r="D73" s="278" t="str">
        <f>'Student Details'!E71</f>
        <v xml:space="preserve"> SNEHA MATHAPATI</v>
      </c>
      <c r="E73">
        <v>4</v>
      </c>
      <c r="F73">
        <v>2</v>
      </c>
      <c r="G73">
        <v>6</v>
      </c>
      <c r="H73">
        <v>4</v>
      </c>
      <c r="I73" s="58"/>
      <c r="J73" s="242">
        <v>59</v>
      </c>
      <c r="K73" s="278" t="str">
        <f>'Student Details'!D71</f>
        <v xml:space="preserve"> 17EE410</v>
      </c>
      <c r="L73" s="278" t="str">
        <f>'Student Details'!E71</f>
        <v xml:space="preserve"> SNEHA MATHAPATI</v>
      </c>
      <c r="M73" s="250">
        <f t="shared" si="9"/>
        <v>4</v>
      </c>
      <c r="N73" s="273">
        <f t="shared" si="10"/>
        <v>0.66666666666666663</v>
      </c>
      <c r="O73" s="266" t="str">
        <f t="shared" si="11"/>
        <v>Y</v>
      </c>
      <c r="P73" s="249">
        <f t="shared" si="12"/>
        <v>8</v>
      </c>
      <c r="Q73" s="273">
        <f t="shared" si="13"/>
        <v>0.53333333333333333</v>
      </c>
      <c r="R73" s="266" t="str">
        <f t="shared" si="14"/>
        <v>N</v>
      </c>
      <c r="S73" s="249">
        <f t="shared" si="15"/>
        <v>4</v>
      </c>
      <c r="T73" s="274">
        <f t="shared" si="16"/>
        <v>1</v>
      </c>
      <c r="U73" s="264" t="str">
        <f t="shared" si="17"/>
        <v>Y</v>
      </c>
    </row>
    <row r="74" spans="2:34" s="64" customFormat="1" ht="20.100000000000001" customHeight="1">
      <c r="B74" s="263">
        <v>60</v>
      </c>
      <c r="C74" s="278" t="str">
        <f>'Student Details'!D72</f>
        <v xml:space="preserve"> 17EE411</v>
      </c>
      <c r="D74" s="278" t="str">
        <f>'Student Details'!E72</f>
        <v xml:space="preserve"> SUHAS T A</v>
      </c>
      <c r="E74">
        <v>0</v>
      </c>
      <c r="F74">
        <v>2</v>
      </c>
      <c r="G74"/>
      <c r="H74">
        <v>4</v>
      </c>
      <c r="I74" s="58"/>
      <c r="J74" s="242">
        <v>60</v>
      </c>
      <c r="K74" s="278" t="str">
        <f>'Student Details'!D72</f>
        <v xml:space="preserve"> 17EE411</v>
      </c>
      <c r="L74" s="278" t="str">
        <f>'Student Details'!E72</f>
        <v xml:space="preserve"> SUHAS T A</v>
      </c>
      <c r="M74" s="250" t="str">
        <f t="shared" si="9"/>
        <v>NA</v>
      </c>
      <c r="N74" s="273" t="str">
        <f t="shared" si="10"/>
        <v>NA</v>
      </c>
      <c r="O74" s="266" t="str">
        <f t="shared" si="11"/>
        <v>NA</v>
      </c>
      <c r="P74" s="249">
        <f t="shared" si="12"/>
        <v>2</v>
      </c>
      <c r="Q74" s="273">
        <f t="shared" si="13"/>
        <v>0.22222222222222221</v>
      </c>
      <c r="R74" s="266" t="str">
        <f t="shared" si="14"/>
        <v>N</v>
      </c>
      <c r="S74" s="249">
        <f t="shared" si="15"/>
        <v>4</v>
      </c>
      <c r="T74" s="274">
        <f t="shared" si="16"/>
        <v>1</v>
      </c>
      <c r="U74" s="264" t="str">
        <f t="shared" si="17"/>
        <v>Y</v>
      </c>
    </row>
    <row r="75" spans="2:34" s="64" customFormat="1" ht="20.100000000000001" customHeight="1">
      <c r="B75" s="263">
        <v>61</v>
      </c>
      <c r="C75" s="278" t="str">
        <f>'Student Details'!D73</f>
        <v xml:space="preserve"> 17EE412</v>
      </c>
      <c r="D75" s="278" t="str">
        <f>'Student Details'!E73</f>
        <v xml:space="preserve"> VARSHA</v>
      </c>
      <c r="E75">
        <v>6</v>
      </c>
      <c r="F75">
        <v>9</v>
      </c>
      <c r="G75">
        <v>6</v>
      </c>
      <c r="H75">
        <v>4</v>
      </c>
      <c r="I75" s="58"/>
      <c r="J75" s="242">
        <v>61</v>
      </c>
      <c r="K75" s="278" t="str">
        <f>'Student Details'!D73</f>
        <v xml:space="preserve"> 17EE412</v>
      </c>
      <c r="L75" s="278" t="str">
        <f>'Student Details'!E73</f>
        <v xml:space="preserve"> VARSHA</v>
      </c>
      <c r="M75" s="250">
        <f t="shared" si="9"/>
        <v>6</v>
      </c>
      <c r="N75" s="273">
        <f t="shared" si="10"/>
        <v>1</v>
      </c>
      <c r="O75" s="266" t="str">
        <f t="shared" si="11"/>
        <v>Y</v>
      </c>
      <c r="P75" s="249">
        <f t="shared" si="12"/>
        <v>15</v>
      </c>
      <c r="Q75" s="273">
        <f t="shared" si="13"/>
        <v>1</v>
      </c>
      <c r="R75" s="266" t="str">
        <f t="shared" si="14"/>
        <v>Y</v>
      </c>
      <c r="S75" s="249">
        <f t="shared" si="15"/>
        <v>4</v>
      </c>
      <c r="T75" s="274">
        <f t="shared" si="16"/>
        <v>1</v>
      </c>
      <c r="U75" s="264" t="str">
        <f t="shared" si="17"/>
        <v>Y</v>
      </c>
    </row>
    <row r="76" spans="2:34" s="64" customFormat="1" ht="20.100000000000001" customHeight="1">
      <c r="B76" s="263"/>
      <c r="C76" s="244"/>
      <c r="D76" s="244"/>
      <c r="E76" s="243"/>
      <c r="F76" s="243"/>
      <c r="G76" s="243"/>
      <c r="H76" s="243"/>
      <c r="I76" s="58"/>
      <c r="J76" s="242"/>
      <c r="K76" s="278"/>
      <c r="L76" s="278"/>
      <c r="M76" s="275"/>
      <c r="N76" s="264"/>
      <c r="O76" s="264"/>
      <c r="P76" s="264"/>
      <c r="Q76" s="264"/>
      <c r="R76" s="264"/>
      <c r="S76" s="264"/>
      <c r="T76" s="264"/>
      <c r="U76" s="264"/>
    </row>
    <row r="77" spans="2:34" s="64" customFormat="1" ht="20.100000000000001" customHeight="1">
      <c r="B77" s="432" t="s">
        <v>208</v>
      </c>
      <c r="C77" s="433"/>
      <c r="D77" s="433"/>
      <c r="E77" s="266">
        <f>$B$75-(COUNTIF(E15:E75,""))</f>
        <v>56</v>
      </c>
      <c r="F77" s="266">
        <f>$B$75-(COUNTIF(F15:F75,""))</f>
        <v>59</v>
      </c>
      <c r="G77" s="266">
        <f>$B$75-(COUNTIF(G15:G75,""))</f>
        <v>43</v>
      </c>
      <c r="H77" s="266">
        <f>$B$75-(COUNTIF(H15:H75,""))</f>
        <v>57</v>
      </c>
      <c r="I77" s="58"/>
      <c r="J77" s="435" t="s">
        <v>208</v>
      </c>
      <c r="K77" s="433"/>
      <c r="L77" s="433"/>
      <c r="M77" s="453">
        <f>$B$75-COUNTIF(M15:M75,"NA")</f>
        <v>48</v>
      </c>
      <c r="N77" s="435"/>
      <c r="O77" s="435"/>
      <c r="P77" s="432">
        <f>$B$75-COUNTIF(P15:P75,"NA")</f>
        <v>59</v>
      </c>
      <c r="Q77" s="435"/>
      <c r="R77" s="435"/>
      <c r="S77" s="432">
        <f>$B$75-COUNTIF(S15:S75,"NA")</f>
        <v>55</v>
      </c>
      <c r="T77" s="435"/>
      <c r="U77" s="435"/>
    </row>
    <row r="78" spans="2:34" s="64" customFormat="1" ht="20.100000000000001" customHeight="1">
      <c r="B78" s="432" t="str">
        <f>UPPER("TOTAL MARKS QUESTIONS")</f>
        <v>TOTAL MARKS QUESTIONS</v>
      </c>
      <c r="C78" s="433"/>
      <c r="D78" s="433"/>
      <c r="E78" s="266">
        <f>SUM(E15:E75)</f>
        <v>215</v>
      </c>
      <c r="F78" s="266">
        <f>SUM(F15:F75)</f>
        <v>384</v>
      </c>
      <c r="G78" s="266">
        <f>SUM(G15:G75)</f>
        <v>128</v>
      </c>
      <c r="H78" s="266">
        <f>SUM(H15:H75)</f>
        <v>168</v>
      </c>
      <c r="I78" s="58"/>
      <c r="J78" s="435" t="str">
        <f>UPPER("Number of Students scoring above a target")</f>
        <v>NUMBER OF STUDENTS SCORING ABOVE A TARGET</v>
      </c>
      <c r="K78" s="433"/>
      <c r="L78" s="433"/>
      <c r="M78" s="453">
        <f>COUNTIF(O15:O75,"Y")</f>
        <v>36</v>
      </c>
      <c r="N78" s="435"/>
      <c r="O78" s="435"/>
      <c r="P78" s="432">
        <f>COUNTIF(R15:R75,"Y")</f>
        <v>39</v>
      </c>
      <c r="Q78" s="435"/>
      <c r="R78" s="435"/>
      <c r="S78" s="432">
        <f>COUNTIF(U15:U75,"Y")</f>
        <v>38</v>
      </c>
      <c r="T78" s="435"/>
      <c r="U78" s="435"/>
    </row>
    <row r="79" spans="2:34" s="64" customFormat="1" ht="34.5" customHeight="1">
      <c r="B79" s="432" t="s">
        <v>209</v>
      </c>
      <c r="C79" s="433"/>
      <c r="D79" s="433"/>
      <c r="E79" s="266">
        <f>E77*E14</f>
        <v>336</v>
      </c>
      <c r="F79" s="266">
        <f>F77*F14</f>
        <v>531</v>
      </c>
      <c r="G79" s="266">
        <f>G77*G14</f>
        <v>258</v>
      </c>
      <c r="H79" s="266">
        <f>H77*H14</f>
        <v>228</v>
      </c>
      <c r="I79" s="277"/>
      <c r="J79" s="435" t="str">
        <f>UPPER("Percentage of Students scoring above a target")</f>
        <v>PERCENTAGE OF STUDENTS SCORING ABOVE A TARGET</v>
      </c>
      <c r="K79" s="433"/>
      <c r="L79" s="433"/>
      <c r="M79" s="451">
        <f>M78/M77</f>
        <v>0.75</v>
      </c>
      <c r="N79" s="431"/>
      <c r="O79" s="431"/>
      <c r="P79" s="452">
        <f>P78/P77</f>
        <v>0.66101694915254239</v>
      </c>
      <c r="Q79" s="431"/>
      <c r="R79" s="431"/>
      <c r="S79" s="431">
        <f>S78/S77</f>
        <v>0.69090909090909092</v>
      </c>
      <c r="T79" s="431"/>
      <c r="U79" s="431"/>
      <c r="V79" s="277"/>
      <c r="W79" s="276"/>
      <c r="X79" s="277"/>
      <c r="Y79" s="277"/>
      <c r="Z79" s="276"/>
      <c r="AA79" s="277"/>
      <c r="AB79" s="277"/>
      <c r="AC79" s="276"/>
      <c r="AD79" s="277"/>
      <c r="AE79" s="277"/>
      <c r="AF79" s="276"/>
      <c r="AG79" s="277"/>
      <c r="AH79" s="277"/>
    </row>
    <row r="80" spans="2:34" s="64" customFormat="1" ht="20.100000000000001" customHeight="1">
      <c r="B80" s="432" t="s">
        <v>210</v>
      </c>
      <c r="C80" s="433"/>
      <c r="D80" s="433"/>
      <c r="E80" s="266" t="s">
        <v>371</v>
      </c>
      <c r="F80" s="266" t="s">
        <v>372</v>
      </c>
      <c r="G80" s="266" t="s">
        <v>372</v>
      </c>
      <c r="H80" s="266" t="s">
        <v>373</v>
      </c>
      <c r="I80" s="277"/>
      <c r="J80" s="435" t="str">
        <f>UPPER("Overall Target")</f>
        <v>OVERALL TARGET</v>
      </c>
      <c r="K80" s="433"/>
      <c r="L80" s="433"/>
      <c r="M80" s="451">
        <f>'Student Details'!V15</f>
        <v>0.7</v>
      </c>
      <c r="N80" s="431"/>
      <c r="O80" s="431"/>
      <c r="P80" s="452">
        <f>'Student Details'!V16</f>
        <v>0.7</v>
      </c>
      <c r="Q80" s="431"/>
      <c r="R80" s="431"/>
      <c r="S80" s="431">
        <f>'Student Details'!V17</f>
        <v>0.7</v>
      </c>
      <c r="T80" s="431"/>
      <c r="U80" s="431"/>
      <c r="V80" s="277"/>
      <c r="W80" s="276"/>
      <c r="X80" s="277"/>
      <c r="Y80" s="277"/>
      <c r="Z80" s="276"/>
      <c r="AA80" s="277"/>
      <c r="AB80" s="277"/>
      <c r="AC80" s="276"/>
      <c r="AD80" s="277"/>
      <c r="AE80" s="277"/>
      <c r="AF80" s="276"/>
      <c r="AG80" s="277"/>
      <c r="AH80" s="277"/>
    </row>
    <row r="81" spans="2:34" s="64" customFormat="1" ht="20.100000000000001" customHeight="1">
      <c r="B81" s="449" t="s">
        <v>211</v>
      </c>
      <c r="C81" s="433"/>
      <c r="D81" s="433"/>
      <c r="E81" s="266">
        <f>IFERROR((E78/E79)*100,0)</f>
        <v>63.988095238095234</v>
      </c>
      <c r="F81" s="266">
        <f>IFERROR((F78/F79)*100,0)</f>
        <v>72.316384180790962</v>
      </c>
      <c r="G81" s="266">
        <f>IFERROR((G78/G79)*100,0)</f>
        <v>49.612403100775197</v>
      </c>
      <c r="H81" s="266">
        <f>IFERROR((H78/H79)*100,0)</f>
        <v>73.68421052631578</v>
      </c>
      <c r="I81" s="277"/>
      <c r="J81" s="435" t="str">
        <f>UPPER("Achievement (Y/N)")</f>
        <v>ACHIEVEMENT (Y/N)</v>
      </c>
      <c r="K81" s="433"/>
      <c r="L81" s="433"/>
      <c r="M81" s="453" t="str">
        <f>IF(M79&gt;=M80,"Y","N")</f>
        <v>Y</v>
      </c>
      <c r="N81" s="435"/>
      <c r="O81" s="435"/>
      <c r="P81" s="432" t="str">
        <f>IF(P79&gt;=P80,"Y","N")</f>
        <v>N</v>
      </c>
      <c r="Q81" s="435"/>
      <c r="R81" s="435"/>
      <c r="S81" s="435" t="str">
        <f>IF(S79&gt;=S80,"Y","N")</f>
        <v>N</v>
      </c>
      <c r="T81" s="435"/>
      <c r="U81" s="435"/>
      <c r="V81" s="277"/>
      <c r="W81" s="276"/>
      <c r="X81" s="277"/>
      <c r="Y81" s="277"/>
      <c r="Z81" s="276"/>
      <c r="AA81" s="277"/>
      <c r="AB81" s="277"/>
      <c r="AC81" s="276"/>
      <c r="AD81" s="277"/>
      <c r="AE81" s="277"/>
      <c r="AF81" s="276"/>
      <c r="AG81" s="277"/>
      <c r="AH81" s="277"/>
    </row>
    <row r="82" spans="2:34" s="64" customFormat="1" ht="20.100000000000001" customHeight="1">
      <c r="B82" s="61"/>
      <c r="C82" s="277"/>
      <c r="D82" s="277"/>
      <c r="E82" s="277"/>
      <c r="F82" s="277"/>
      <c r="G82" s="277"/>
      <c r="H82" s="277"/>
      <c r="I82" s="277"/>
      <c r="J82" s="60"/>
      <c r="K82" s="277"/>
      <c r="L82" s="277"/>
      <c r="M82" s="67"/>
      <c r="N82" s="277"/>
      <c r="O82" s="277"/>
      <c r="P82" s="276"/>
      <c r="Q82" s="277"/>
      <c r="R82" s="277"/>
      <c r="S82" s="277"/>
      <c r="T82" s="276"/>
      <c r="U82" s="277"/>
      <c r="V82" s="277"/>
      <c r="W82" s="276"/>
      <c r="X82" s="277"/>
      <c r="Y82" s="277"/>
      <c r="Z82" s="276"/>
      <c r="AA82" s="277"/>
      <c r="AB82" s="277"/>
      <c r="AC82" s="276"/>
      <c r="AD82" s="277"/>
      <c r="AE82" s="277"/>
      <c r="AF82" s="276"/>
      <c r="AG82" s="277"/>
      <c r="AH82" s="277"/>
    </row>
    <row r="83" spans="2:34" s="64" customFormat="1" ht="20.100000000000001" customHeight="1">
      <c r="B83" s="61"/>
      <c r="C83" s="246" t="s">
        <v>212</v>
      </c>
      <c r="D83" s="248" t="s">
        <v>213</v>
      </c>
      <c r="E83" s="248" t="s">
        <v>214</v>
      </c>
      <c r="F83" s="277"/>
      <c r="G83" s="277"/>
      <c r="H83" s="277"/>
      <c r="I83" s="277"/>
      <c r="J83" s="60"/>
      <c r="K83" s="277"/>
      <c r="L83" s="277"/>
      <c r="M83" s="67"/>
      <c r="N83" s="277"/>
      <c r="O83" s="277"/>
      <c r="P83" s="276"/>
      <c r="Q83" s="277"/>
      <c r="R83" s="277"/>
      <c r="S83" s="277"/>
      <c r="T83" s="276"/>
      <c r="U83" s="277"/>
      <c r="V83" s="277"/>
      <c r="W83" s="276"/>
      <c r="X83" s="277"/>
      <c r="Y83" s="277"/>
      <c r="Z83" s="276"/>
      <c r="AA83" s="277"/>
      <c r="AB83" s="277"/>
      <c r="AC83" s="276"/>
      <c r="AD83" s="277"/>
      <c r="AE83" s="277"/>
      <c r="AF83" s="276"/>
      <c r="AG83" s="277"/>
      <c r="AH83" s="277"/>
    </row>
    <row r="84" spans="2:34" s="64" customFormat="1" ht="20.100000000000001" customHeight="1">
      <c r="B84" s="61"/>
      <c r="C84" s="246" t="s">
        <v>369</v>
      </c>
      <c r="D84" s="248"/>
      <c r="E84" s="248"/>
      <c r="F84" s="277"/>
      <c r="G84" s="277"/>
      <c r="H84" s="277"/>
      <c r="I84" s="277"/>
      <c r="J84" s="60"/>
      <c r="K84" s="277"/>
      <c r="L84" s="277"/>
      <c r="M84" s="67"/>
      <c r="N84" s="277"/>
      <c r="O84" s="277"/>
      <c r="P84" s="276"/>
      <c r="Q84" s="277"/>
      <c r="R84" s="277"/>
      <c r="S84" s="65"/>
      <c r="T84" s="276"/>
      <c r="U84" s="276"/>
      <c r="V84" s="276"/>
      <c r="W84" s="276"/>
      <c r="X84" s="276"/>
      <c r="Y84" s="276"/>
      <c r="Z84" s="276"/>
      <c r="AA84" s="276"/>
    </row>
    <row r="85" spans="2:34" s="64" customFormat="1" ht="20.100000000000001" customHeight="1">
      <c r="B85" s="61"/>
      <c r="C85" s="246" t="s">
        <v>370</v>
      </c>
      <c r="D85" s="248"/>
      <c r="E85" s="248"/>
      <c r="F85" s="277"/>
      <c r="G85" s="60"/>
      <c r="H85" s="277"/>
      <c r="I85" s="277"/>
      <c r="J85" s="60"/>
      <c r="K85" s="277"/>
      <c r="L85" s="277"/>
      <c r="M85" s="67"/>
      <c r="N85" s="276"/>
      <c r="O85" s="276"/>
      <c r="P85" s="61"/>
      <c r="Q85" s="61"/>
      <c r="R85" s="277"/>
      <c r="S85" s="277"/>
      <c r="T85" s="276"/>
      <c r="U85" s="277"/>
      <c r="V85" s="277"/>
      <c r="W85" s="276"/>
      <c r="X85" s="277"/>
      <c r="Y85" s="277"/>
      <c r="Z85" s="276"/>
      <c r="AA85" s="276"/>
    </row>
    <row r="86" spans="2:34" s="64" customFormat="1" ht="20.100000000000001" customHeight="1">
      <c r="B86" s="61"/>
      <c r="C86" s="246" t="s">
        <v>371</v>
      </c>
      <c r="D86" s="248">
        <f>M79*100</f>
        <v>75</v>
      </c>
      <c r="E86" s="248">
        <f>M80*100</f>
        <v>70</v>
      </c>
      <c r="F86" s="277"/>
      <c r="G86" s="60"/>
      <c r="H86" s="277"/>
      <c r="I86" s="277"/>
      <c r="J86" s="60"/>
      <c r="K86" s="277"/>
      <c r="L86" s="277"/>
      <c r="M86" s="67"/>
      <c r="N86" s="276"/>
      <c r="O86" s="276"/>
      <c r="P86" s="61"/>
      <c r="Q86" s="61"/>
      <c r="R86" s="277"/>
      <c r="S86" s="277"/>
      <c r="T86" s="276"/>
      <c r="U86" s="277"/>
      <c r="V86" s="277"/>
      <c r="W86" s="276"/>
      <c r="X86" s="277"/>
      <c r="Y86" s="277"/>
      <c r="Z86" s="276"/>
      <c r="AA86" s="276"/>
    </row>
    <row r="87" spans="2:34" s="64" customFormat="1" ht="20.100000000000001" customHeight="1">
      <c r="B87" s="61"/>
      <c r="C87" s="246" t="s">
        <v>372</v>
      </c>
      <c r="D87" s="248">
        <f>P79*100</f>
        <v>66.101694915254242</v>
      </c>
      <c r="E87" s="248">
        <f>P80*100</f>
        <v>70</v>
      </c>
      <c r="F87" s="277"/>
      <c r="G87" s="60"/>
      <c r="H87" s="277"/>
      <c r="I87" s="277"/>
      <c r="J87" s="60"/>
      <c r="K87" s="277"/>
      <c r="L87" s="277"/>
      <c r="M87" s="67"/>
      <c r="N87" s="276"/>
      <c r="O87" s="276"/>
      <c r="P87" s="61"/>
      <c r="Q87" s="61"/>
      <c r="R87" s="277"/>
      <c r="S87" s="277"/>
      <c r="T87" s="276"/>
      <c r="U87" s="277"/>
      <c r="V87" s="277"/>
      <c r="W87" s="276"/>
      <c r="X87" s="277"/>
      <c r="Y87" s="277"/>
      <c r="Z87" s="276"/>
      <c r="AA87" s="276"/>
    </row>
    <row r="88" spans="2:34" s="64" customFormat="1" ht="20.100000000000001" customHeight="1">
      <c r="B88" s="61"/>
      <c r="C88" s="246" t="s">
        <v>373</v>
      </c>
      <c r="D88" s="248">
        <f>S79*100</f>
        <v>69.090909090909093</v>
      </c>
      <c r="E88" s="248">
        <f>S80*100</f>
        <v>70</v>
      </c>
      <c r="F88" s="277"/>
      <c r="G88" s="60"/>
      <c r="H88" s="277"/>
      <c r="I88" s="277"/>
      <c r="J88" s="60"/>
      <c r="K88" s="277"/>
      <c r="L88" s="277"/>
      <c r="M88" s="67"/>
      <c r="N88" s="276"/>
      <c r="O88" s="276"/>
      <c r="P88" s="61"/>
      <c r="Q88" s="61"/>
      <c r="R88" s="277"/>
      <c r="S88" s="277"/>
      <c r="T88" s="276"/>
      <c r="U88" s="277"/>
      <c r="V88" s="277"/>
      <c r="W88" s="276"/>
      <c r="X88" s="277"/>
      <c r="Y88" s="277"/>
      <c r="Z88" s="276"/>
      <c r="AA88" s="276"/>
    </row>
    <row r="89" spans="2:34" s="64" customFormat="1" ht="20.100000000000001" customHeight="1">
      <c r="B89" s="61"/>
      <c r="C89" s="70"/>
      <c r="D89" s="70"/>
      <c r="E89" s="70"/>
      <c r="F89" s="277"/>
      <c r="G89" s="60"/>
      <c r="H89" s="277"/>
      <c r="I89" s="277"/>
      <c r="J89" s="60"/>
      <c r="K89" s="277"/>
      <c r="L89" s="277"/>
      <c r="M89" s="67"/>
      <c r="N89" s="276"/>
      <c r="O89" s="276"/>
      <c r="P89" s="61"/>
      <c r="Q89" s="61"/>
      <c r="R89" s="277"/>
      <c r="S89" s="277"/>
      <c r="T89" s="276"/>
      <c r="U89" s="277"/>
      <c r="V89" s="277"/>
      <c r="W89" s="276"/>
      <c r="X89" s="277"/>
      <c r="Y89" s="277"/>
      <c r="Z89" s="276"/>
      <c r="AA89" s="276"/>
    </row>
    <row r="90" spans="2:34" s="64" customFormat="1" ht="20.100000000000001" customHeight="1">
      <c r="B90" s="61"/>
      <c r="C90" s="70"/>
      <c r="D90" s="70"/>
      <c r="E90" s="107"/>
      <c r="F90" s="66"/>
      <c r="G90" s="123"/>
      <c r="H90" s="66"/>
      <c r="I90" s="66"/>
      <c r="J90" s="123"/>
      <c r="K90" s="66"/>
      <c r="L90" s="67"/>
      <c r="M90" s="67"/>
      <c r="N90" s="276"/>
      <c r="O90" s="65"/>
      <c r="P90" s="61"/>
      <c r="Q90" s="61"/>
      <c r="R90" s="65"/>
      <c r="S90" s="276"/>
      <c r="T90" s="276"/>
      <c r="U90" s="276"/>
      <c r="V90" s="276"/>
      <c r="W90" s="276"/>
      <c r="X90" s="276"/>
      <c r="Y90" s="276"/>
      <c r="Z90" s="276"/>
      <c r="AA90" s="276"/>
    </row>
    <row r="91" spans="2:34" s="64" customFormat="1" ht="20.100000000000001" customHeight="1">
      <c r="B91" s="61"/>
      <c r="C91" s="70"/>
      <c r="D91" s="70"/>
      <c r="E91" s="107"/>
      <c r="F91" s="66"/>
      <c r="G91" s="123"/>
      <c r="H91" s="66"/>
      <c r="I91" s="66"/>
      <c r="J91" s="123"/>
      <c r="K91" s="66"/>
      <c r="L91" s="67"/>
      <c r="M91" s="67"/>
      <c r="N91" s="276"/>
      <c r="O91" s="277"/>
      <c r="P91" s="277"/>
      <c r="Q91" s="60"/>
      <c r="R91" s="277"/>
      <c r="S91" s="277"/>
      <c r="T91" s="277"/>
      <c r="U91" s="277"/>
      <c r="V91" s="277"/>
      <c r="W91" s="277"/>
      <c r="X91" s="277"/>
      <c r="Y91" s="276"/>
      <c r="Z91" s="277"/>
      <c r="AA91" s="277"/>
    </row>
    <row r="92" spans="2:34" s="64" customFormat="1" ht="20.100000000000001" customHeight="1">
      <c r="B92" s="61"/>
      <c r="C92" s="70"/>
      <c r="D92" s="70"/>
      <c r="E92" s="107"/>
      <c r="F92" s="66"/>
      <c r="G92" s="123"/>
      <c r="H92" s="66"/>
      <c r="I92" s="66"/>
      <c r="J92" s="123"/>
      <c r="K92" s="66"/>
      <c r="L92" s="67"/>
      <c r="M92" s="67"/>
      <c r="N92" s="276"/>
      <c r="O92" s="277"/>
      <c r="P92" s="277"/>
      <c r="Q92" s="60"/>
      <c r="R92" s="277"/>
      <c r="S92" s="277"/>
      <c r="T92" s="277"/>
      <c r="U92" s="277"/>
      <c r="V92" s="277"/>
      <c r="W92" s="277"/>
      <c r="X92" s="277"/>
      <c r="Y92" s="276"/>
      <c r="Z92" s="277"/>
      <c r="AA92" s="277"/>
    </row>
    <row r="93" spans="2:34" s="64" customFormat="1" ht="20.100000000000001" customHeight="1">
      <c r="B93" s="61"/>
      <c r="C93" s="70"/>
      <c r="D93" s="70"/>
      <c r="E93" s="107"/>
      <c r="F93" s="66"/>
      <c r="G93" s="123"/>
      <c r="H93" s="66"/>
      <c r="I93" s="66"/>
      <c r="J93" s="123"/>
      <c r="K93" s="66"/>
      <c r="L93" s="67"/>
      <c r="M93" s="67"/>
      <c r="N93" s="276"/>
      <c r="O93" s="277"/>
      <c r="P93" s="277"/>
      <c r="Q93" s="60"/>
      <c r="R93" s="277"/>
      <c r="S93" s="277"/>
      <c r="T93" s="277"/>
      <c r="U93" s="277"/>
      <c r="V93" s="277"/>
      <c r="W93" s="277"/>
      <c r="X93" s="277"/>
      <c r="Y93" s="276"/>
      <c r="Z93" s="277"/>
      <c r="AA93" s="277"/>
    </row>
    <row r="94" spans="2:34" s="76" customFormat="1" ht="20.100000000000001" customHeight="1">
      <c r="B94" s="61"/>
      <c r="C94" s="70"/>
      <c r="D94" s="70"/>
      <c r="E94" s="68"/>
      <c r="F94" s="276"/>
      <c r="G94" s="61"/>
      <c r="H94" s="276"/>
      <c r="I94" s="276"/>
      <c r="J94" s="61"/>
      <c r="K94" s="276"/>
      <c r="L94" s="276"/>
      <c r="M94" s="276"/>
      <c r="N94" s="276"/>
      <c r="O94" s="277"/>
      <c r="P94" s="277"/>
      <c r="Q94" s="60"/>
      <c r="R94" s="277"/>
      <c r="S94" s="277"/>
      <c r="T94" s="277"/>
      <c r="U94" s="277"/>
      <c r="V94" s="277"/>
      <c r="W94" s="277"/>
      <c r="X94" s="277"/>
      <c r="Y94" s="276"/>
      <c r="Z94" s="277"/>
      <c r="AA94" s="277"/>
    </row>
    <row r="95" spans="2:34" s="76" customFormat="1" ht="20.100000000000001" customHeight="1">
      <c r="B95" s="61"/>
      <c r="C95" s="70"/>
      <c r="D95" s="70"/>
      <c r="E95" s="69"/>
      <c r="F95" s="67"/>
      <c r="G95" s="96"/>
      <c r="H95" s="67"/>
      <c r="I95" s="67"/>
      <c r="J95" s="96"/>
      <c r="K95" s="67"/>
      <c r="L95" s="276"/>
      <c r="M95" s="276"/>
      <c r="N95" s="276"/>
      <c r="O95" s="277"/>
      <c r="P95" s="277"/>
      <c r="Q95" s="60"/>
      <c r="R95" s="277"/>
      <c r="S95" s="277"/>
      <c r="T95" s="277"/>
      <c r="U95" s="277"/>
      <c r="V95" s="277"/>
      <c r="W95" s="277"/>
      <c r="X95" s="277"/>
      <c r="Y95" s="276"/>
      <c r="Z95" s="277"/>
      <c r="AA95" s="277"/>
    </row>
    <row r="96" spans="2:34" s="76" customFormat="1" ht="20.100000000000001" customHeight="1">
      <c r="B96" s="61"/>
      <c r="C96" s="70"/>
      <c r="D96" s="70"/>
      <c r="E96" s="67"/>
      <c r="F96" s="67"/>
      <c r="G96" s="96"/>
      <c r="H96" s="67"/>
      <c r="I96" s="67"/>
      <c r="J96" s="96"/>
      <c r="K96" s="67"/>
      <c r="L96" s="276"/>
      <c r="M96" s="276"/>
      <c r="N96" s="61"/>
      <c r="P96" s="61"/>
      <c r="Q96" s="61"/>
    </row>
    <row r="97" spans="2:17" s="76" customFormat="1" ht="20.100000000000001" customHeight="1">
      <c r="B97" s="61"/>
      <c r="C97" s="70"/>
      <c r="D97" s="70"/>
      <c r="E97" s="69"/>
      <c r="F97" s="67"/>
      <c r="G97" s="96"/>
      <c r="H97" s="67"/>
      <c r="I97" s="67"/>
      <c r="J97" s="96"/>
      <c r="K97" s="67"/>
      <c r="L97" s="276"/>
      <c r="M97" s="276"/>
      <c r="N97" s="61"/>
      <c r="P97" s="61"/>
      <c r="Q97" s="61"/>
    </row>
    <row r="98" spans="2:17" s="76" customFormat="1" ht="20.100000000000001" customHeight="1">
      <c r="B98" s="61"/>
      <c r="C98" s="70"/>
      <c r="D98" s="70"/>
      <c r="E98" s="69"/>
      <c r="F98" s="67"/>
      <c r="G98" s="96"/>
      <c r="H98" s="67"/>
      <c r="I98" s="67"/>
      <c r="J98" s="96"/>
      <c r="K98" s="67"/>
      <c r="L98" s="276"/>
      <c r="M98" s="276"/>
      <c r="N98" s="61"/>
      <c r="P98" s="61"/>
      <c r="Q98" s="61"/>
    </row>
    <row r="99" spans="2:17" s="76" customFormat="1" ht="20.100000000000001" customHeight="1">
      <c r="B99" s="61"/>
      <c r="C99" s="70"/>
      <c r="D99" s="70"/>
      <c r="E99" s="69"/>
      <c r="F99" s="67"/>
      <c r="G99" s="96"/>
      <c r="H99" s="67"/>
      <c r="I99" s="67"/>
      <c r="J99" s="96"/>
      <c r="K99" s="67"/>
      <c r="L99" s="276"/>
      <c r="M99" s="276"/>
      <c r="N99" s="61"/>
      <c r="P99" s="61"/>
      <c r="Q99" s="61"/>
    </row>
    <row r="100" spans="2:17" s="76" customFormat="1" ht="20.100000000000001" customHeight="1">
      <c r="B100" s="61"/>
      <c r="C100" s="68"/>
      <c r="D100" s="68"/>
      <c r="E100" s="68"/>
      <c r="G100" s="61"/>
      <c r="J100" s="61"/>
      <c r="N100" s="61"/>
      <c r="P100" s="61"/>
      <c r="Q100" s="61"/>
    </row>
    <row r="101" spans="2:17" s="76" customFormat="1" ht="20.100000000000001" customHeight="1">
      <c r="B101" s="61"/>
      <c r="C101" s="68"/>
      <c r="D101" s="68"/>
      <c r="E101" s="68"/>
      <c r="G101" s="61"/>
      <c r="J101" s="61"/>
      <c r="N101" s="61"/>
      <c r="P101" s="61"/>
      <c r="Q101" s="61"/>
    </row>
    <row r="102" spans="2:17" ht="20.100000000000001" customHeight="1">
      <c r="C102" s="73"/>
      <c r="D102" s="74"/>
    </row>
    <row r="103" spans="2:17" ht="20.100000000000001" customHeight="1">
      <c r="C103" s="73"/>
      <c r="D103" s="74"/>
    </row>
    <row r="104" spans="2:17" ht="20.100000000000001" customHeight="1">
      <c r="C104" s="73"/>
      <c r="D104" s="74"/>
    </row>
    <row r="105" spans="2:17" ht="20.100000000000001" customHeight="1">
      <c r="C105" s="73"/>
      <c r="D105" s="74"/>
    </row>
  </sheetData>
  <sheetProtection formatCells="0" formatColumns="0" formatRows="0" sort="0"/>
  <mergeCells count="52">
    <mergeCell ref="B80:D80"/>
    <mergeCell ref="J80:L80"/>
    <mergeCell ref="M81:O81"/>
    <mergeCell ref="P81:R81"/>
    <mergeCell ref="B81:D81"/>
    <mergeCell ref="J81:L81"/>
    <mergeCell ref="I1:V1"/>
    <mergeCell ref="I2:V2"/>
    <mergeCell ref="I10:V10"/>
    <mergeCell ref="L11:L14"/>
    <mergeCell ref="M12:O12"/>
    <mergeCell ref="M13:M14"/>
    <mergeCell ref="P12:R12"/>
    <mergeCell ref="P13:P14"/>
    <mergeCell ref="J7:L7"/>
    <mergeCell ref="J8:L8"/>
    <mergeCell ref="J9:L9"/>
    <mergeCell ref="N8:P8"/>
    <mergeCell ref="N9:P9"/>
    <mergeCell ref="A1:H1"/>
    <mergeCell ref="A2:H2"/>
    <mergeCell ref="A10:H10"/>
    <mergeCell ref="B7:D7"/>
    <mergeCell ref="B8:H8"/>
    <mergeCell ref="B9:H9"/>
    <mergeCell ref="B11:B14"/>
    <mergeCell ref="C11:C14"/>
    <mergeCell ref="D11:D14"/>
    <mergeCell ref="S12:U12"/>
    <mergeCell ref="S13:S14"/>
    <mergeCell ref="M11:U11"/>
    <mergeCell ref="J11:J14"/>
    <mergeCell ref="K11:K14"/>
    <mergeCell ref="M77:O77"/>
    <mergeCell ref="P77:R77"/>
    <mergeCell ref="S77:U77"/>
    <mergeCell ref="B77:D77"/>
    <mergeCell ref="J77:L77"/>
    <mergeCell ref="B79:D79"/>
    <mergeCell ref="J79:L79"/>
    <mergeCell ref="M78:O78"/>
    <mergeCell ref="P78:R78"/>
    <mergeCell ref="S78:U78"/>
    <mergeCell ref="B78:D78"/>
    <mergeCell ref="J78:L78"/>
    <mergeCell ref="S80:U80"/>
    <mergeCell ref="S81:U81"/>
    <mergeCell ref="M79:O79"/>
    <mergeCell ref="P79:R79"/>
    <mergeCell ref="S79:U79"/>
    <mergeCell ref="M80:O80"/>
    <mergeCell ref="P80:R80"/>
  </mergeCells>
  <pageMargins left="0" right="0.2" top="0.5" bottom="0.5" header="0.3" footer="0.3"/>
  <pageSetup paperSize="9" scale="85" orientation="landscape" r:id="rId1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Z88"/>
  <sheetViews>
    <sheetView topLeftCell="A61" workbookViewId="0">
      <selection activeCell="K68" sqref="K68"/>
    </sheetView>
  </sheetViews>
  <sheetFormatPr defaultColWidth="18.28515625" defaultRowHeight="21.75" customHeight="1"/>
  <cols>
    <col min="1" max="1" width="7.5703125" style="90" customWidth="1"/>
    <col min="2" max="2" width="7.7109375" style="60" customWidth="1"/>
    <col min="3" max="3" width="13.7109375" style="90" customWidth="1"/>
    <col min="4" max="4" width="35.7109375" style="90" customWidth="1"/>
    <col min="5" max="5" width="7.7109375" style="91" customWidth="1"/>
    <col min="6" max="11" width="7.7109375" style="90" customWidth="1"/>
    <col min="12" max="16" width="11.7109375" style="90" customWidth="1"/>
    <col min="17" max="26" width="20.7109375" style="90" customWidth="1"/>
    <col min="27" max="16384" width="18.28515625" style="99"/>
  </cols>
  <sheetData>
    <row r="1" spans="1:19" ht="21.75" customHeight="1">
      <c r="A1" s="445" t="s">
        <v>191</v>
      </c>
      <c r="B1" s="439"/>
      <c r="C1" s="439"/>
      <c r="D1" s="439"/>
      <c r="E1" s="439"/>
      <c r="F1" s="439"/>
      <c r="G1" s="439"/>
      <c r="H1" s="439"/>
      <c r="I1" s="439"/>
      <c r="J1" s="439"/>
      <c r="K1" s="267"/>
      <c r="L1" s="267"/>
      <c r="M1" s="267"/>
    </row>
    <row r="2" spans="1:19" ht="21.75" customHeight="1">
      <c r="A2" s="445" t="s">
        <v>240</v>
      </c>
      <c r="B2" s="439"/>
      <c r="C2" s="439"/>
      <c r="D2" s="439"/>
      <c r="E2" s="439"/>
      <c r="F2" s="439"/>
      <c r="G2" s="439"/>
      <c r="H2" s="439"/>
      <c r="I2" s="439"/>
      <c r="J2" s="439"/>
      <c r="K2" s="267"/>
      <c r="L2" s="267"/>
      <c r="M2" s="267"/>
    </row>
    <row r="3" spans="1:19" ht="21.75" hidden="1" customHeight="1">
      <c r="C3" s="261"/>
      <c r="D3" s="261"/>
    </row>
    <row r="4" spans="1:19" ht="21.75" customHeight="1">
      <c r="A4" s="261"/>
      <c r="C4" s="261"/>
      <c r="D4" s="261"/>
    </row>
    <row r="5" spans="1:19" ht="21.75" customHeight="1">
      <c r="A5" s="261"/>
      <c r="B5" s="444" t="s">
        <v>374</v>
      </c>
      <c r="C5" s="443"/>
      <c r="D5" s="443"/>
      <c r="F5" s="261"/>
      <c r="G5" s="444" t="s">
        <v>206</v>
      </c>
      <c r="H5" s="443"/>
      <c r="I5" s="443"/>
      <c r="J5" s="443"/>
      <c r="K5" s="261"/>
      <c r="L5" s="261"/>
      <c r="M5" s="261"/>
    </row>
    <row r="6" spans="1:19" ht="21.75" customHeight="1">
      <c r="A6" s="268"/>
      <c r="B6" s="444" t="s">
        <v>194</v>
      </c>
      <c r="C6" s="443"/>
      <c r="D6" s="443"/>
      <c r="F6" s="261"/>
      <c r="G6" s="444" t="s">
        <v>207</v>
      </c>
      <c r="H6" s="443"/>
      <c r="I6" s="443"/>
      <c r="J6" s="443"/>
      <c r="K6" s="261"/>
      <c r="L6" s="261"/>
      <c r="M6" s="261"/>
    </row>
    <row r="7" spans="1:19" ht="21.75" customHeight="1">
      <c r="B7" s="444" t="s">
        <v>195</v>
      </c>
      <c r="C7" s="443"/>
      <c r="D7" s="443"/>
    </row>
    <row r="8" spans="1:19" ht="15" customHeight="1"/>
    <row r="9" spans="1:19" s="58" customFormat="1" ht="21.75" customHeight="1">
      <c r="A9" s="446" t="s">
        <v>241</v>
      </c>
      <c r="B9" s="441"/>
      <c r="C9" s="441"/>
      <c r="D9" s="441"/>
      <c r="E9" s="441"/>
      <c r="F9" s="441"/>
      <c r="G9" s="441"/>
      <c r="H9" s="441"/>
      <c r="I9" s="441"/>
      <c r="J9" s="441"/>
      <c r="K9" s="268"/>
    </row>
    <row r="10" spans="1:19" s="58" customFormat="1" ht="21.75" customHeight="1">
      <c r="B10" s="242" t="s">
        <v>196</v>
      </c>
      <c r="C10" s="278" t="s">
        <v>47</v>
      </c>
      <c r="D10" s="278" t="s">
        <v>197</v>
      </c>
      <c r="E10" s="242" t="s">
        <v>369</v>
      </c>
      <c r="F10" s="242" t="s">
        <v>370</v>
      </c>
      <c r="G10" s="242" t="s">
        <v>371</v>
      </c>
      <c r="H10" s="242" t="s">
        <v>372</v>
      </c>
      <c r="I10" s="242" t="s">
        <v>373</v>
      </c>
      <c r="J10" s="60"/>
      <c r="K10" s="277"/>
      <c r="L10" s="258"/>
      <c r="M10" s="258">
        <v>3</v>
      </c>
      <c r="N10" s="258">
        <v>2</v>
      </c>
      <c r="O10" s="265">
        <v>1</v>
      </c>
      <c r="P10" s="277"/>
      <c r="Q10" s="277"/>
      <c r="R10" s="277"/>
      <c r="S10" s="277"/>
    </row>
    <row r="11" spans="1:19" s="58" customFormat="1" ht="20.100000000000001" customHeight="1">
      <c r="B11" s="242">
        <v>1</v>
      </c>
      <c r="C11" s="278" t="str">
        <f>'Student Details'!D13</f>
        <v xml:space="preserve"> 14EE029</v>
      </c>
      <c r="D11" s="278" t="str">
        <f>'Student Details'!E13</f>
        <v xml:space="preserve"> VARUN K R</v>
      </c>
      <c r="E11" s="239">
        <v>3</v>
      </c>
      <c r="F11" s="239">
        <v>3</v>
      </c>
      <c r="G11" s="239">
        <v>2</v>
      </c>
      <c r="H11" s="239">
        <v>3</v>
      </c>
      <c r="I11" s="242">
        <v>2</v>
      </c>
      <c r="J11" s="60"/>
      <c r="K11" s="200"/>
      <c r="L11" s="265" t="s">
        <v>62</v>
      </c>
      <c r="M11" s="265" t="s">
        <v>242</v>
      </c>
      <c r="N11" s="265" t="s">
        <v>243</v>
      </c>
      <c r="O11" s="258" t="s">
        <v>244</v>
      </c>
      <c r="P11" s="277"/>
    </row>
    <row r="12" spans="1:19" s="58" customFormat="1" ht="20.100000000000001" customHeight="1">
      <c r="B12" s="242">
        <v>2</v>
      </c>
      <c r="C12" s="278" t="str">
        <f>'Student Details'!D14</f>
        <v xml:space="preserve"> 15EE032</v>
      </c>
      <c r="D12" s="278" t="str">
        <f>'Student Details'!E14</f>
        <v xml:space="preserve"> PUNEETH R</v>
      </c>
      <c r="E12" s="239">
        <v>3</v>
      </c>
      <c r="F12" s="239">
        <v>2</v>
      </c>
      <c r="G12" s="239">
        <v>3</v>
      </c>
      <c r="H12" s="239">
        <v>2</v>
      </c>
      <c r="I12" s="242">
        <v>3</v>
      </c>
      <c r="J12" s="60"/>
      <c r="L12" s="266" t="s">
        <v>369</v>
      </c>
      <c r="M12" s="266">
        <f>COUNTIF(E11:E71,M10)</f>
        <v>54</v>
      </c>
      <c r="N12" s="266">
        <f>COUNTIF(E11:E71,N10)</f>
        <v>7</v>
      </c>
      <c r="O12" s="266">
        <f>COUNTIF(E11:E71,O10)</f>
        <v>0</v>
      </c>
      <c r="P12" s="277"/>
    </row>
    <row r="13" spans="1:19" s="58" customFormat="1" ht="20.100000000000001" customHeight="1">
      <c r="B13" s="242">
        <v>3</v>
      </c>
      <c r="C13" s="278" t="str">
        <f>'Student Details'!D15</f>
        <v xml:space="preserve"> 16EE004</v>
      </c>
      <c r="D13" s="278" t="str">
        <f>'Student Details'!E15</f>
        <v xml:space="preserve"> ANIL S BARKI</v>
      </c>
      <c r="E13" s="239">
        <v>3</v>
      </c>
      <c r="F13" s="239">
        <v>3</v>
      </c>
      <c r="G13" s="239">
        <v>3</v>
      </c>
      <c r="H13" s="239">
        <v>3</v>
      </c>
      <c r="I13" s="242">
        <v>2</v>
      </c>
      <c r="J13" s="60"/>
      <c r="L13" s="266" t="s">
        <v>370</v>
      </c>
      <c r="M13" s="266">
        <f>COUNTIF(F11:F71,M10)</f>
        <v>45</v>
      </c>
      <c r="N13" s="266">
        <f>COUNTIF(F11:F71,N10)</f>
        <v>16</v>
      </c>
      <c r="O13" s="266">
        <f>COUNTIF(F11:F71,O10)</f>
        <v>0</v>
      </c>
      <c r="P13" s="277"/>
    </row>
    <row r="14" spans="1:19" s="58" customFormat="1" ht="20.100000000000001" customHeight="1">
      <c r="B14" s="242">
        <v>4</v>
      </c>
      <c r="C14" s="278" t="str">
        <f>'Student Details'!D16</f>
        <v xml:space="preserve"> 16EE005</v>
      </c>
      <c r="D14" s="278" t="str">
        <f>'Student Details'!E16</f>
        <v xml:space="preserve"> ARCHANA B.</v>
      </c>
      <c r="E14" s="239">
        <v>2</v>
      </c>
      <c r="F14" s="239">
        <v>3</v>
      </c>
      <c r="G14" s="239">
        <v>3</v>
      </c>
      <c r="H14" s="239">
        <v>3</v>
      </c>
      <c r="I14" s="242">
        <v>2</v>
      </c>
      <c r="J14" s="60"/>
      <c r="L14" s="266" t="s">
        <v>371</v>
      </c>
      <c r="M14" s="266">
        <f>COUNTIF(G11:G71,M10)</f>
        <v>40</v>
      </c>
      <c r="N14" s="266">
        <f>COUNTIF(G11:G71,N10)</f>
        <v>16</v>
      </c>
      <c r="O14" s="266">
        <f>COUNTIF(G11:G71,O10)</f>
        <v>5</v>
      </c>
      <c r="P14" s="277"/>
    </row>
    <row r="15" spans="1:19" s="58" customFormat="1" ht="20.100000000000001" customHeight="1">
      <c r="B15" s="242">
        <v>5</v>
      </c>
      <c r="C15" s="278" t="str">
        <f>'Student Details'!D17</f>
        <v xml:space="preserve"> 16EE006</v>
      </c>
      <c r="D15" s="278" t="str">
        <f>'Student Details'!E17</f>
        <v xml:space="preserve"> AYESHA SHAMAIL</v>
      </c>
      <c r="E15" s="239">
        <v>3</v>
      </c>
      <c r="F15" s="239">
        <v>3</v>
      </c>
      <c r="G15" s="239">
        <v>3</v>
      </c>
      <c r="H15" s="239">
        <v>2</v>
      </c>
      <c r="I15" s="242">
        <v>3</v>
      </c>
      <c r="J15" s="60"/>
      <c r="L15" s="266" t="s">
        <v>372</v>
      </c>
      <c r="M15" s="266">
        <f>COUNTIF(H11:H71,M10)</f>
        <v>50</v>
      </c>
      <c r="N15" s="266">
        <f>COUNTIF(H11:H71,N10)</f>
        <v>10</v>
      </c>
      <c r="O15" s="266">
        <f>COUNTIF(H11:H71,O10)</f>
        <v>1</v>
      </c>
      <c r="P15" s="277"/>
    </row>
    <row r="16" spans="1:19" s="58" customFormat="1" ht="20.100000000000001" customHeight="1">
      <c r="B16" s="242">
        <v>6</v>
      </c>
      <c r="C16" s="278" t="str">
        <f>'Student Details'!D18</f>
        <v xml:space="preserve"> 16EE008</v>
      </c>
      <c r="D16" s="278" t="str">
        <f>'Student Details'!E18</f>
        <v xml:space="preserve"> BHAGYASHREE</v>
      </c>
      <c r="E16" s="239">
        <v>3</v>
      </c>
      <c r="F16" s="239">
        <v>3</v>
      </c>
      <c r="G16" s="239">
        <v>3</v>
      </c>
      <c r="H16" s="239">
        <v>3</v>
      </c>
      <c r="I16" s="242">
        <v>3</v>
      </c>
      <c r="J16" s="60"/>
      <c r="L16" s="266" t="s">
        <v>373</v>
      </c>
      <c r="M16" s="266">
        <f>COUNTIF(I11:I71,M10)</f>
        <v>43</v>
      </c>
      <c r="N16" s="266">
        <f>COUNTIF(I11:I71,N10)</f>
        <v>17</v>
      </c>
      <c r="O16" s="266">
        <f>COUNTIF(I11:I71,O10)</f>
        <v>1</v>
      </c>
      <c r="P16" s="277"/>
    </row>
    <row r="17" spans="2:10" s="58" customFormat="1" ht="20.100000000000001" customHeight="1">
      <c r="B17" s="242">
        <v>7</v>
      </c>
      <c r="C17" s="278" t="str">
        <f>'Student Details'!D19</f>
        <v xml:space="preserve"> 16EE009</v>
      </c>
      <c r="D17" s="278" t="str">
        <f>'Student Details'!E19</f>
        <v xml:space="preserve"> BHAVANA H M</v>
      </c>
      <c r="E17" s="239">
        <v>3</v>
      </c>
      <c r="F17" s="239">
        <v>2</v>
      </c>
      <c r="G17" s="239">
        <v>2</v>
      </c>
      <c r="H17" s="239">
        <v>3</v>
      </c>
      <c r="I17" s="242">
        <v>3</v>
      </c>
      <c r="J17" s="60"/>
    </row>
    <row r="18" spans="2:10" s="58" customFormat="1" ht="20.100000000000001" customHeight="1">
      <c r="B18" s="242">
        <v>8</v>
      </c>
      <c r="C18" s="278" t="str">
        <f>'Student Details'!D20</f>
        <v xml:space="preserve"> 16EE010</v>
      </c>
      <c r="D18" s="278" t="str">
        <f>'Student Details'!E20</f>
        <v xml:space="preserve"> BHIMANAIKA Y</v>
      </c>
      <c r="E18" s="239">
        <v>3</v>
      </c>
      <c r="F18" s="239">
        <v>3</v>
      </c>
      <c r="G18" s="239">
        <v>3</v>
      </c>
      <c r="H18" s="239">
        <v>3</v>
      </c>
      <c r="I18" s="242">
        <v>3</v>
      </c>
      <c r="J18" s="60"/>
    </row>
    <row r="19" spans="2:10" s="58" customFormat="1" ht="20.100000000000001" customHeight="1">
      <c r="B19" s="242">
        <v>9</v>
      </c>
      <c r="C19" s="278" t="str">
        <f>'Student Details'!D21</f>
        <v xml:space="preserve"> 16EE011</v>
      </c>
      <c r="D19" s="278" t="str">
        <f>'Student Details'!E21</f>
        <v xml:space="preserve"> BINDUSHREE T.A.</v>
      </c>
      <c r="E19" s="239">
        <v>3</v>
      </c>
      <c r="F19" s="239">
        <v>3</v>
      </c>
      <c r="G19" s="239">
        <v>3</v>
      </c>
      <c r="H19" s="239">
        <v>3</v>
      </c>
      <c r="I19" s="242">
        <v>3</v>
      </c>
      <c r="J19" s="60"/>
    </row>
    <row r="20" spans="2:10" s="58" customFormat="1" ht="20.100000000000001" customHeight="1">
      <c r="B20" s="242">
        <v>10</v>
      </c>
      <c r="C20" s="278" t="str">
        <f>'Student Details'!D22</f>
        <v xml:space="preserve"> 16EE012</v>
      </c>
      <c r="D20" s="278" t="str">
        <f>'Student Details'!E22</f>
        <v xml:space="preserve"> BRUNDA S</v>
      </c>
      <c r="E20" s="239">
        <v>3</v>
      </c>
      <c r="F20" s="239">
        <v>2</v>
      </c>
      <c r="G20" s="239">
        <v>2</v>
      </c>
      <c r="H20" s="239">
        <v>3</v>
      </c>
      <c r="I20" s="242">
        <v>3</v>
      </c>
      <c r="J20" s="60"/>
    </row>
    <row r="21" spans="2:10" s="58" customFormat="1" ht="20.100000000000001" customHeight="1">
      <c r="B21" s="242">
        <v>11</v>
      </c>
      <c r="C21" s="278" t="str">
        <f>'Student Details'!D23</f>
        <v xml:space="preserve"> 16EE013</v>
      </c>
      <c r="D21" s="278" t="str">
        <f>'Student Details'!E23</f>
        <v xml:space="preserve"> CHAITHRA S</v>
      </c>
      <c r="E21" s="239">
        <v>3</v>
      </c>
      <c r="F21" s="239">
        <v>3</v>
      </c>
      <c r="G21" s="239">
        <v>3</v>
      </c>
      <c r="H21" s="239">
        <v>3</v>
      </c>
      <c r="I21" s="242">
        <v>2</v>
      </c>
      <c r="J21" s="60"/>
    </row>
    <row r="22" spans="2:10" s="58" customFormat="1" ht="20.100000000000001" customHeight="1">
      <c r="B22" s="242">
        <v>12</v>
      </c>
      <c r="C22" s="278" t="str">
        <f>'Student Details'!D24</f>
        <v xml:space="preserve"> 16EE014</v>
      </c>
      <c r="D22" s="278" t="str">
        <f>'Student Details'!E24</f>
        <v xml:space="preserve"> CHETHAN M</v>
      </c>
      <c r="E22" s="239">
        <v>2</v>
      </c>
      <c r="F22" s="239">
        <v>3</v>
      </c>
      <c r="G22" s="239">
        <v>3</v>
      </c>
      <c r="H22" s="239">
        <v>3</v>
      </c>
      <c r="I22" s="242">
        <v>2</v>
      </c>
      <c r="J22" s="60"/>
    </row>
    <row r="23" spans="2:10" s="58" customFormat="1" ht="20.100000000000001" customHeight="1">
      <c r="B23" s="242">
        <v>13</v>
      </c>
      <c r="C23" s="278" t="str">
        <f>'Student Details'!D25</f>
        <v xml:space="preserve"> 16EE016</v>
      </c>
      <c r="D23" s="278" t="str">
        <f>'Student Details'!E25</f>
        <v xml:space="preserve"> DEEKSHITH M S</v>
      </c>
      <c r="E23" s="239">
        <v>3</v>
      </c>
      <c r="F23" s="239">
        <v>3</v>
      </c>
      <c r="G23" s="239">
        <v>3</v>
      </c>
      <c r="H23" s="239">
        <v>2</v>
      </c>
      <c r="I23" s="242">
        <v>3</v>
      </c>
      <c r="J23" s="60"/>
    </row>
    <row r="24" spans="2:10" s="58" customFormat="1" ht="20.100000000000001" customHeight="1">
      <c r="B24" s="242">
        <v>14</v>
      </c>
      <c r="C24" s="278" t="str">
        <f>'Student Details'!D26</f>
        <v xml:space="preserve"> 16EE017</v>
      </c>
      <c r="D24" s="278" t="str">
        <f>'Student Details'!E26</f>
        <v xml:space="preserve"> DEEPTI M HONGUTHI</v>
      </c>
      <c r="E24" s="239">
        <v>3</v>
      </c>
      <c r="F24" s="239">
        <v>3</v>
      </c>
      <c r="G24" s="239">
        <v>3</v>
      </c>
      <c r="H24" s="239">
        <v>3</v>
      </c>
      <c r="I24" s="242">
        <v>3</v>
      </c>
      <c r="J24" s="60"/>
    </row>
    <row r="25" spans="2:10" s="58" customFormat="1" ht="20.100000000000001" customHeight="1">
      <c r="B25" s="242">
        <v>15</v>
      </c>
      <c r="C25" s="278" t="str">
        <f>'Student Details'!D27</f>
        <v xml:space="preserve"> 16EE020</v>
      </c>
      <c r="D25" s="278" t="str">
        <f>'Student Details'!E27</f>
        <v xml:space="preserve"> HARSHA</v>
      </c>
      <c r="E25" s="239">
        <v>3</v>
      </c>
      <c r="F25" s="239">
        <v>2</v>
      </c>
      <c r="G25" s="239">
        <v>2</v>
      </c>
      <c r="H25" s="239">
        <v>3</v>
      </c>
      <c r="I25" s="242">
        <v>3</v>
      </c>
      <c r="J25" s="60"/>
    </row>
    <row r="26" spans="2:10" s="58" customFormat="1" ht="20.100000000000001" customHeight="1">
      <c r="B26" s="242">
        <v>16</v>
      </c>
      <c r="C26" s="278" t="str">
        <f>'Student Details'!D28</f>
        <v xml:space="preserve"> 16EE021</v>
      </c>
      <c r="D26" s="278" t="str">
        <f>'Student Details'!E28</f>
        <v xml:space="preserve"> JEEVITHA L R</v>
      </c>
      <c r="E26" s="239">
        <v>3</v>
      </c>
      <c r="F26" s="239">
        <v>3</v>
      </c>
      <c r="G26" s="239">
        <v>3</v>
      </c>
      <c r="H26" s="239">
        <v>2</v>
      </c>
      <c r="I26" s="242">
        <v>3</v>
      </c>
      <c r="J26" s="60"/>
    </row>
    <row r="27" spans="2:10" s="58" customFormat="1" ht="20.100000000000001" customHeight="1">
      <c r="B27" s="242">
        <v>17</v>
      </c>
      <c r="C27" s="278" t="str">
        <f>'Student Details'!D29</f>
        <v xml:space="preserve"> 16EE022</v>
      </c>
      <c r="D27" s="278" t="str">
        <f>'Student Details'!E29</f>
        <v xml:space="preserve"> JULEKHA B</v>
      </c>
      <c r="E27" s="239">
        <v>3</v>
      </c>
      <c r="F27" s="239">
        <v>3</v>
      </c>
      <c r="G27" s="239">
        <v>3</v>
      </c>
      <c r="H27" s="239">
        <v>3</v>
      </c>
      <c r="I27" s="242">
        <v>3</v>
      </c>
      <c r="J27" s="60"/>
    </row>
    <row r="28" spans="2:10" s="58" customFormat="1" ht="20.100000000000001" customHeight="1">
      <c r="B28" s="242">
        <v>18</v>
      </c>
      <c r="C28" s="278" t="str">
        <f>'Student Details'!D30</f>
        <v>16EE023</v>
      </c>
      <c r="D28" s="278" t="str">
        <f>'Student Details'!E30</f>
        <v>JYOTHI S N</v>
      </c>
      <c r="E28" s="239">
        <v>3</v>
      </c>
      <c r="F28" s="239">
        <v>2</v>
      </c>
      <c r="G28" s="239">
        <v>2</v>
      </c>
      <c r="H28" s="239">
        <v>3</v>
      </c>
      <c r="I28" s="242">
        <v>3</v>
      </c>
      <c r="J28" s="60"/>
    </row>
    <row r="29" spans="2:10" s="58" customFormat="1" ht="20.100000000000001" customHeight="1">
      <c r="B29" s="242">
        <v>19</v>
      </c>
      <c r="C29" s="278" t="str">
        <f>'Student Details'!D31</f>
        <v xml:space="preserve"> 16EE025</v>
      </c>
      <c r="D29" s="278" t="str">
        <f>'Student Details'!E31</f>
        <v xml:space="preserve"> KAVANA S</v>
      </c>
      <c r="E29" s="239">
        <v>3</v>
      </c>
      <c r="F29" s="239">
        <v>3</v>
      </c>
      <c r="G29" s="239">
        <v>3</v>
      </c>
      <c r="H29" s="239">
        <v>3</v>
      </c>
      <c r="I29" s="242">
        <v>3</v>
      </c>
      <c r="J29" s="60"/>
    </row>
    <row r="30" spans="2:10" s="58" customFormat="1" ht="20.100000000000001" customHeight="1">
      <c r="B30" s="242">
        <v>20</v>
      </c>
      <c r="C30" s="278" t="str">
        <f>'Student Details'!D32</f>
        <v xml:space="preserve"> 16EE027</v>
      </c>
      <c r="D30" s="278" t="str">
        <f>'Student Details'!E32</f>
        <v xml:space="preserve"> KUMAR RAGHAVENDRA G.B.</v>
      </c>
      <c r="E30" s="239">
        <v>3</v>
      </c>
      <c r="F30" s="239">
        <v>3</v>
      </c>
      <c r="G30" s="239">
        <v>3</v>
      </c>
      <c r="H30" s="239">
        <v>3</v>
      </c>
      <c r="I30" s="242">
        <v>3</v>
      </c>
      <c r="J30" s="60"/>
    </row>
    <row r="31" spans="2:10" s="58" customFormat="1" ht="20.100000000000001" customHeight="1">
      <c r="B31" s="242">
        <v>21</v>
      </c>
      <c r="C31" s="278" t="str">
        <f>'Student Details'!D33</f>
        <v xml:space="preserve"> 16EE028</v>
      </c>
      <c r="D31" s="278" t="str">
        <f>'Student Details'!E33</f>
        <v xml:space="preserve"> LAKSHMI R</v>
      </c>
      <c r="E31" s="239">
        <v>3</v>
      </c>
      <c r="F31" s="239">
        <v>2</v>
      </c>
      <c r="G31" s="239">
        <v>2</v>
      </c>
      <c r="H31" s="239">
        <v>3</v>
      </c>
      <c r="I31" s="242">
        <v>3</v>
      </c>
      <c r="J31" s="60"/>
    </row>
    <row r="32" spans="2:10" s="58" customFormat="1" ht="20.100000000000001" customHeight="1">
      <c r="B32" s="242">
        <v>22</v>
      </c>
      <c r="C32" s="278" t="str">
        <f>'Student Details'!D34</f>
        <v xml:space="preserve"> 16EE031</v>
      </c>
      <c r="D32" s="278" t="str">
        <f>'Student Details'!E34</f>
        <v xml:space="preserve"> MANOJ T</v>
      </c>
      <c r="E32" s="239">
        <v>3</v>
      </c>
      <c r="F32" s="239">
        <v>3</v>
      </c>
      <c r="G32" s="239">
        <v>3</v>
      </c>
      <c r="H32" s="239">
        <v>3</v>
      </c>
      <c r="I32" s="242">
        <v>2</v>
      </c>
      <c r="J32" s="60"/>
    </row>
    <row r="33" spans="2:10" s="58" customFormat="1" ht="20.100000000000001" customHeight="1">
      <c r="B33" s="242">
        <v>23</v>
      </c>
      <c r="C33" s="278" t="str">
        <f>'Student Details'!D35</f>
        <v xml:space="preserve"> 16EE032</v>
      </c>
      <c r="D33" s="278" t="str">
        <f>'Student Details'!E35</f>
        <v xml:space="preserve"> MD SARJIL ANSARI</v>
      </c>
      <c r="E33" s="239">
        <v>3</v>
      </c>
      <c r="F33" s="239">
        <v>3</v>
      </c>
      <c r="G33" s="239">
        <v>3</v>
      </c>
      <c r="H33" s="239">
        <v>3</v>
      </c>
      <c r="I33" s="242">
        <v>3</v>
      </c>
      <c r="J33" s="60"/>
    </row>
    <row r="34" spans="2:10" s="58" customFormat="1" ht="20.100000000000001" customHeight="1">
      <c r="B34" s="242">
        <v>24</v>
      </c>
      <c r="C34" s="278" t="str">
        <f>'Student Details'!D36</f>
        <v xml:space="preserve"> 16EE034</v>
      </c>
      <c r="D34" s="278" t="str">
        <f>'Student Details'!E36</f>
        <v xml:space="preserve"> MITHILA A R THOTADA</v>
      </c>
      <c r="E34" s="239">
        <v>3</v>
      </c>
      <c r="F34" s="239">
        <v>2</v>
      </c>
      <c r="G34" s="239">
        <v>2</v>
      </c>
      <c r="H34" s="239">
        <v>3</v>
      </c>
      <c r="I34" s="242">
        <v>1</v>
      </c>
      <c r="J34" s="60"/>
    </row>
    <row r="35" spans="2:10" s="58" customFormat="1" ht="20.100000000000001" customHeight="1">
      <c r="B35" s="242">
        <v>25</v>
      </c>
      <c r="C35" s="278" t="str">
        <f>'Student Details'!D37</f>
        <v xml:space="preserve"> 16EE035</v>
      </c>
      <c r="D35" s="278" t="str">
        <f>'Student Details'!E37</f>
        <v xml:space="preserve"> MOUNA K.M</v>
      </c>
      <c r="E35" s="239">
        <v>3</v>
      </c>
      <c r="F35" s="239">
        <v>3</v>
      </c>
      <c r="G35" s="239">
        <v>3</v>
      </c>
      <c r="H35" s="239">
        <v>2</v>
      </c>
      <c r="I35" s="242">
        <v>3</v>
      </c>
      <c r="J35" s="60"/>
    </row>
    <row r="36" spans="2:10" s="58" customFormat="1" ht="20.100000000000001" customHeight="1">
      <c r="B36" s="242">
        <v>26</v>
      </c>
      <c r="C36" s="278" t="str">
        <f>'Student Details'!D38</f>
        <v xml:space="preserve"> 16EE036</v>
      </c>
      <c r="D36" s="278" t="str">
        <f>'Student Details'!E38</f>
        <v xml:space="preserve"> NARASIMHANAYAKA D</v>
      </c>
      <c r="E36" s="239">
        <v>3</v>
      </c>
      <c r="F36" s="239">
        <v>3</v>
      </c>
      <c r="G36" s="239">
        <v>3</v>
      </c>
      <c r="H36" s="239">
        <v>3</v>
      </c>
      <c r="I36" s="242">
        <v>3</v>
      </c>
      <c r="J36" s="60"/>
    </row>
    <row r="37" spans="2:10" s="58" customFormat="1" ht="20.100000000000001" customHeight="1">
      <c r="B37" s="242">
        <v>27</v>
      </c>
      <c r="C37" s="278" t="str">
        <f>'Student Details'!D39</f>
        <v xml:space="preserve"> 16EE037</v>
      </c>
      <c r="D37" s="278" t="str">
        <f>'Student Details'!E39</f>
        <v xml:space="preserve"> NIKHIL H M</v>
      </c>
      <c r="E37" s="239">
        <v>3</v>
      </c>
      <c r="F37" s="239">
        <v>2</v>
      </c>
      <c r="G37" s="239">
        <v>2</v>
      </c>
      <c r="H37" s="239">
        <v>3</v>
      </c>
      <c r="I37" s="242">
        <v>3</v>
      </c>
      <c r="J37" s="60"/>
    </row>
    <row r="38" spans="2:10" s="58" customFormat="1" ht="20.100000000000001" customHeight="1">
      <c r="B38" s="242">
        <v>28</v>
      </c>
      <c r="C38" s="278" t="str">
        <f>'Student Details'!D40</f>
        <v xml:space="preserve"> 16EE038</v>
      </c>
      <c r="D38" s="278" t="str">
        <f>'Student Details'!E40</f>
        <v xml:space="preserve"> NITHIN N GUJJAR</v>
      </c>
      <c r="E38" s="239">
        <v>3</v>
      </c>
      <c r="F38" s="239">
        <v>3</v>
      </c>
      <c r="G38" s="239">
        <v>3</v>
      </c>
      <c r="H38" s="239">
        <v>2</v>
      </c>
      <c r="I38" s="242">
        <v>3</v>
      </c>
      <c r="J38" s="60"/>
    </row>
    <row r="39" spans="2:10" s="58" customFormat="1" ht="20.100000000000001" customHeight="1">
      <c r="B39" s="242">
        <v>29</v>
      </c>
      <c r="C39" s="278" t="str">
        <f>'Student Details'!D41</f>
        <v xml:space="preserve"> 16EE039</v>
      </c>
      <c r="D39" s="278" t="str">
        <f>'Student Details'!E41</f>
        <v xml:space="preserve"> NITHIN GOWDA B N</v>
      </c>
      <c r="E39" s="239">
        <v>3</v>
      </c>
      <c r="F39" s="239">
        <v>3</v>
      </c>
      <c r="G39" s="239">
        <v>3</v>
      </c>
      <c r="H39" s="239">
        <v>3</v>
      </c>
      <c r="I39" s="242">
        <v>3</v>
      </c>
      <c r="J39" s="60"/>
    </row>
    <row r="40" spans="2:10" s="58" customFormat="1" ht="20.100000000000001" customHeight="1">
      <c r="B40" s="242">
        <v>30</v>
      </c>
      <c r="C40" s="278" t="str">
        <f>'Student Details'!D42</f>
        <v xml:space="preserve"> 16EE042</v>
      </c>
      <c r="D40" s="278" t="str">
        <f>'Student Details'!E42</f>
        <v xml:space="preserve"> RAKSHITHA T U</v>
      </c>
      <c r="E40" s="239">
        <v>3</v>
      </c>
      <c r="F40" s="239">
        <v>2</v>
      </c>
      <c r="G40" s="239">
        <v>2</v>
      </c>
      <c r="H40" s="239">
        <v>3</v>
      </c>
      <c r="I40" s="242">
        <v>3</v>
      </c>
      <c r="J40" s="60"/>
    </row>
    <row r="41" spans="2:10" s="58" customFormat="1" ht="20.100000000000001" customHeight="1">
      <c r="B41" s="242">
        <v>31</v>
      </c>
      <c r="C41" s="278" t="str">
        <f>'Student Details'!D43</f>
        <v xml:space="preserve"> 16EE043</v>
      </c>
      <c r="D41" s="278" t="str">
        <f>'Student Details'!E43</f>
        <v xml:space="preserve"> RAMKUMAR K M</v>
      </c>
      <c r="E41" s="239">
        <v>3</v>
      </c>
      <c r="F41" s="239">
        <v>3</v>
      </c>
      <c r="G41" s="239">
        <v>3</v>
      </c>
      <c r="H41" s="239">
        <v>3</v>
      </c>
      <c r="I41" s="242">
        <v>3</v>
      </c>
      <c r="J41" s="60"/>
    </row>
    <row r="42" spans="2:10" s="58" customFormat="1" ht="20.100000000000001" customHeight="1">
      <c r="B42" s="242">
        <v>32</v>
      </c>
      <c r="C42" s="278" t="str">
        <f>'Student Details'!D44</f>
        <v xml:space="preserve"> 16EE045</v>
      </c>
      <c r="D42" s="278" t="str">
        <f>'Student Details'!E44</f>
        <v xml:space="preserve"> RENUKA K</v>
      </c>
      <c r="E42" s="239">
        <v>3</v>
      </c>
      <c r="F42" s="239">
        <v>3</v>
      </c>
      <c r="G42" s="239">
        <v>3</v>
      </c>
      <c r="H42" s="239">
        <v>3</v>
      </c>
      <c r="I42" s="242">
        <v>3</v>
      </c>
      <c r="J42" s="60"/>
    </row>
    <row r="43" spans="2:10" s="58" customFormat="1" ht="20.100000000000001" customHeight="1">
      <c r="B43" s="242">
        <v>33</v>
      </c>
      <c r="C43" s="278" t="str">
        <f>'Student Details'!D45</f>
        <v xml:space="preserve"> 16EE046</v>
      </c>
      <c r="D43" s="278" t="str">
        <f>'Student Details'!E45</f>
        <v xml:space="preserve"> RESHMA</v>
      </c>
      <c r="E43" s="239">
        <v>3</v>
      </c>
      <c r="F43" s="239">
        <v>2</v>
      </c>
      <c r="G43" s="239">
        <v>2</v>
      </c>
      <c r="H43" s="239">
        <v>3</v>
      </c>
      <c r="I43" s="242">
        <v>3</v>
      </c>
      <c r="J43" s="60"/>
    </row>
    <row r="44" spans="2:10" s="58" customFormat="1" ht="20.100000000000001" customHeight="1">
      <c r="B44" s="242">
        <v>34</v>
      </c>
      <c r="C44" s="278" t="str">
        <f>'Student Details'!D46</f>
        <v xml:space="preserve"> 16EE047</v>
      </c>
      <c r="D44" s="278" t="str">
        <f>'Student Details'!E46</f>
        <v xml:space="preserve"> SAHINABEGAUM NADAF</v>
      </c>
      <c r="E44" s="239">
        <v>3</v>
      </c>
      <c r="F44" s="239">
        <v>3</v>
      </c>
      <c r="G44" s="239">
        <v>3</v>
      </c>
      <c r="H44" s="239">
        <v>3</v>
      </c>
      <c r="I44" s="242">
        <v>2</v>
      </c>
      <c r="J44" s="60"/>
    </row>
    <row r="45" spans="2:10" s="58" customFormat="1" ht="20.100000000000001" customHeight="1">
      <c r="B45" s="242">
        <v>35</v>
      </c>
      <c r="C45" s="278" t="str">
        <f>'Student Details'!D47</f>
        <v xml:space="preserve"> 16EE048</v>
      </c>
      <c r="D45" s="278" t="str">
        <f>'Student Details'!E47</f>
        <v xml:space="preserve"> SANDEEP KUMAR MURMU</v>
      </c>
      <c r="E45" s="239">
        <v>3</v>
      </c>
      <c r="F45" s="239">
        <v>3</v>
      </c>
      <c r="G45" s="239">
        <v>1</v>
      </c>
      <c r="H45" s="239">
        <v>3</v>
      </c>
      <c r="I45" s="242">
        <v>3</v>
      </c>
      <c r="J45" s="60"/>
    </row>
    <row r="46" spans="2:10" s="58" customFormat="1" ht="20.100000000000001" customHeight="1">
      <c r="B46" s="242">
        <v>36</v>
      </c>
      <c r="C46" s="278" t="str">
        <f>'Student Details'!D48</f>
        <v xml:space="preserve"> 16EE049</v>
      </c>
      <c r="D46" s="278" t="str">
        <f>'Student Details'!E48</f>
        <v xml:space="preserve"> SHARIKA</v>
      </c>
      <c r="E46" s="239">
        <v>3</v>
      </c>
      <c r="F46" s="239">
        <v>2</v>
      </c>
      <c r="G46" s="239">
        <v>2</v>
      </c>
      <c r="H46" s="239">
        <v>3</v>
      </c>
      <c r="I46" s="242">
        <v>3</v>
      </c>
      <c r="J46" s="60"/>
    </row>
    <row r="47" spans="2:10" s="58" customFormat="1" ht="20.100000000000001" customHeight="1">
      <c r="B47" s="242">
        <v>37</v>
      </c>
      <c r="C47" s="278" t="str">
        <f>'Student Details'!D49</f>
        <v xml:space="preserve"> 16EE050</v>
      </c>
      <c r="D47" s="278" t="str">
        <f>'Student Details'!E49</f>
        <v xml:space="preserve"> SHWETHA R JAGADALE</v>
      </c>
      <c r="E47" s="239">
        <v>3</v>
      </c>
      <c r="F47" s="239">
        <v>3</v>
      </c>
      <c r="G47" s="239">
        <v>3</v>
      </c>
      <c r="H47" s="239">
        <v>2</v>
      </c>
      <c r="I47" s="242">
        <v>3</v>
      </c>
      <c r="J47" s="60"/>
    </row>
    <row r="48" spans="2:10" s="58" customFormat="1" ht="20.100000000000001" customHeight="1">
      <c r="B48" s="242">
        <v>38</v>
      </c>
      <c r="C48" s="278" t="str">
        <f>'Student Details'!D50</f>
        <v xml:space="preserve"> 16EE051</v>
      </c>
      <c r="D48" s="278" t="str">
        <f>'Student Details'!E50</f>
        <v xml:space="preserve"> SUCHITRA</v>
      </c>
      <c r="E48" s="239">
        <v>2</v>
      </c>
      <c r="F48" s="239">
        <v>3</v>
      </c>
      <c r="G48" s="239">
        <v>3</v>
      </c>
      <c r="H48" s="239">
        <v>3</v>
      </c>
      <c r="I48" s="242">
        <v>2</v>
      </c>
      <c r="J48" s="60"/>
    </row>
    <row r="49" spans="2:10" s="58" customFormat="1" ht="20.100000000000001" customHeight="1">
      <c r="B49" s="242">
        <v>39</v>
      </c>
      <c r="C49" s="278" t="str">
        <f>'Student Details'!D51</f>
        <v xml:space="preserve"> 16EE052</v>
      </c>
      <c r="D49" s="278" t="str">
        <f>'Student Details'!E51</f>
        <v xml:space="preserve"> SWATHI RAMESH R</v>
      </c>
      <c r="E49" s="239">
        <v>3</v>
      </c>
      <c r="F49" s="239">
        <v>3</v>
      </c>
      <c r="G49" s="239">
        <v>3</v>
      </c>
      <c r="H49" s="239">
        <v>2</v>
      </c>
      <c r="I49" s="242">
        <v>3</v>
      </c>
      <c r="J49" s="60"/>
    </row>
    <row r="50" spans="2:10" s="58" customFormat="1" ht="20.100000000000001" customHeight="1">
      <c r="B50" s="242">
        <v>40</v>
      </c>
      <c r="C50" s="278" t="str">
        <f>'Student Details'!D52</f>
        <v xml:space="preserve"> 16EE053</v>
      </c>
      <c r="D50" s="278" t="str">
        <f>'Student Details'!E52</f>
        <v xml:space="preserve"> TABREZ ALLAM</v>
      </c>
      <c r="E50" s="239">
        <v>3</v>
      </c>
      <c r="F50" s="239">
        <v>3</v>
      </c>
      <c r="G50" s="239">
        <v>3</v>
      </c>
      <c r="H50" s="239">
        <v>3</v>
      </c>
      <c r="I50" s="242">
        <v>3</v>
      </c>
      <c r="J50" s="60"/>
    </row>
    <row r="51" spans="2:10" s="58" customFormat="1" ht="20.100000000000001" customHeight="1">
      <c r="B51" s="242">
        <v>41</v>
      </c>
      <c r="C51" s="278" t="str">
        <f>'Student Details'!D53</f>
        <v xml:space="preserve"> 16EE054</v>
      </c>
      <c r="D51" s="278" t="str">
        <f>'Student Details'!E53</f>
        <v xml:space="preserve"> VENKATESH H</v>
      </c>
      <c r="E51" s="239">
        <v>3</v>
      </c>
      <c r="F51" s="239">
        <v>2</v>
      </c>
      <c r="G51" s="239">
        <v>2</v>
      </c>
      <c r="H51" s="239">
        <v>3</v>
      </c>
      <c r="I51" s="242">
        <v>3</v>
      </c>
      <c r="J51" s="60"/>
    </row>
    <row r="52" spans="2:10" s="58" customFormat="1" ht="20.100000000000001" customHeight="1">
      <c r="B52" s="242">
        <v>42</v>
      </c>
      <c r="C52" s="278" t="str">
        <f>'Student Details'!D54</f>
        <v xml:space="preserve"> 16EE055</v>
      </c>
      <c r="D52" s="278" t="str">
        <f>'Student Details'!E54</f>
        <v xml:space="preserve"> VIDYA I K</v>
      </c>
      <c r="E52" s="239">
        <v>3</v>
      </c>
      <c r="F52" s="239">
        <v>3</v>
      </c>
      <c r="G52" s="239">
        <v>3</v>
      </c>
      <c r="H52" s="239">
        <v>1</v>
      </c>
      <c r="I52" s="242">
        <v>3</v>
      </c>
      <c r="J52" s="60"/>
    </row>
    <row r="53" spans="2:10" s="58" customFormat="1" ht="20.100000000000001" customHeight="1">
      <c r="B53" s="242">
        <v>43</v>
      </c>
      <c r="C53" s="278" t="str">
        <f>'Student Details'!D55</f>
        <v xml:space="preserve"> 16EE056</v>
      </c>
      <c r="D53" s="278" t="str">
        <f>'Student Details'!E55</f>
        <v xml:space="preserve"> YAMUNA S R</v>
      </c>
      <c r="E53" s="239">
        <v>3</v>
      </c>
      <c r="F53" s="239">
        <v>3</v>
      </c>
      <c r="G53" s="239">
        <v>3</v>
      </c>
      <c r="H53" s="239">
        <v>3</v>
      </c>
      <c r="I53" s="242">
        <v>3</v>
      </c>
      <c r="J53" s="60"/>
    </row>
    <row r="54" spans="2:10" s="58" customFormat="1" ht="20.100000000000001" customHeight="1">
      <c r="B54" s="242">
        <v>44</v>
      </c>
      <c r="C54" s="278" t="str">
        <f>'Student Details'!D56</f>
        <v xml:space="preserve"> 16EE061</v>
      </c>
      <c r="D54" s="278" t="str">
        <f>'Student Details'!E56</f>
        <v xml:space="preserve"> NAYANA T A</v>
      </c>
      <c r="E54" s="239">
        <v>3</v>
      </c>
      <c r="F54" s="239">
        <v>2</v>
      </c>
      <c r="G54" s="239">
        <v>2</v>
      </c>
      <c r="H54" s="239">
        <v>3</v>
      </c>
      <c r="I54" s="242">
        <v>3</v>
      </c>
      <c r="J54" s="60"/>
    </row>
    <row r="55" spans="2:10" s="58" customFormat="1" ht="20.100000000000001" customHeight="1">
      <c r="B55" s="242">
        <v>45</v>
      </c>
      <c r="C55" s="278" t="str">
        <f>'Student Details'!D57</f>
        <v xml:space="preserve"> 16EE062</v>
      </c>
      <c r="D55" s="278" t="str">
        <f>'Student Details'!E57</f>
        <v xml:space="preserve"> AISHWARIYA</v>
      </c>
      <c r="E55" s="239">
        <v>3</v>
      </c>
      <c r="F55" s="239">
        <v>3</v>
      </c>
      <c r="G55" s="239">
        <v>1</v>
      </c>
      <c r="H55" s="239">
        <v>3</v>
      </c>
      <c r="I55" s="242">
        <v>2</v>
      </c>
      <c r="J55" s="60"/>
    </row>
    <row r="56" spans="2:10" s="58" customFormat="1" ht="20.100000000000001" customHeight="1">
      <c r="B56" s="242">
        <v>46</v>
      </c>
      <c r="C56" s="278" t="str">
        <f>'Student Details'!D58</f>
        <v xml:space="preserve"> 16EE063</v>
      </c>
      <c r="D56" s="278" t="str">
        <f>'Student Details'!E58</f>
        <v xml:space="preserve"> T N RANJEET</v>
      </c>
      <c r="E56" s="239">
        <v>2</v>
      </c>
      <c r="F56" s="239">
        <v>3</v>
      </c>
      <c r="G56" s="239">
        <v>3</v>
      </c>
      <c r="H56" s="239">
        <v>3</v>
      </c>
      <c r="I56" s="242">
        <v>2</v>
      </c>
      <c r="J56" s="60"/>
    </row>
    <row r="57" spans="2:10" s="58" customFormat="1" ht="20.100000000000001" customHeight="1">
      <c r="B57" s="242">
        <v>47</v>
      </c>
      <c r="C57" s="278" t="str">
        <f>'Student Details'!D59</f>
        <v xml:space="preserve"> 16EE064</v>
      </c>
      <c r="D57" s="278" t="str">
        <f>'Student Details'!E59</f>
        <v xml:space="preserve"> VIDYASHRI S</v>
      </c>
      <c r="E57" s="239">
        <v>3</v>
      </c>
      <c r="F57" s="239">
        <v>3</v>
      </c>
      <c r="G57" s="239">
        <v>1</v>
      </c>
      <c r="H57" s="239">
        <v>2</v>
      </c>
      <c r="I57" s="242">
        <v>3</v>
      </c>
      <c r="J57" s="60"/>
    </row>
    <row r="58" spans="2:10" s="58" customFormat="1" ht="20.100000000000001" customHeight="1">
      <c r="B58" s="242">
        <v>48</v>
      </c>
      <c r="C58" s="278" t="str">
        <f>'Student Details'!D60</f>
        <v xml:space="preserve"> 16EE409</v>
      </c>
      <c r="D58" s="278" t="str">
        <f>'Student Details'!E60</f>
        <v xml:space="preserve"> MANIKANTA HEGDE N</v>
      </c>
      <c r="E58" s="239">
        <v>3</v>
      </c>
      <c r="F58" s="239">
        <v>3</v>
      </c>
      <c r="G58" s="239">
        <v>3</v>
      </c>
      <c r="H58" s="239">
        <v>3</v>
      </c>
      <c r="I58" s="242">
        <v>3</v>
      </c>
      <c r="J58" s="60"/>
    </row>
    <row r="59" spans="2:10" s="58" customFormat="1" ht="20.100000000000001" customHeight="1">
      <c r="B59" s="242">
        <v>49</v>
      </c>
      <c r="C59" s="278" t="str">
        <f>'Student Details'!D61</f>
        <v xml:space="preserve"> 16EE410</v>
      </c>
      <c r="D59" s="278" t="str">
        <f>'Student Details'!E61</f>
        <v xml:space="preserve"> PADMA PRASAD K.L</v>
      </c>
      <c r="E59" s="239">
        <v>3</v>
      </c>
      <c r="F59" s="239">
        <v>2</v>
      </c>
      <c r="G59" s="239">
        <v>2</v>
      </c>
      <c r="H59" s="239">
        <v>3</v>
      </c>
      <c r="I59" s="242">
        <v>3</v>
      </c>
      <c r="J59" s="60"/>
    </row>
    <row r="60" spans="2:10" s="58" customFormat="1" ht="20.100000000000001" customHeight="1">
      <c r="B60" s="242">
        <v>50</v>
      </c>
      <c r="C60" s="278" t="str">
        <f>'Student Details'!D62</f>
        <v xml:space="preserve"> 17EE400</v>
      </c>
      <c r="D60" s="278" t="str">
        <f>'Student Details'!E62</f>
        <v xml:space="preserve"> AKASH M</v>
      </c>
      <c r="E60" s="239">
        <v>3</v>
      </c>
      <c r="F60" s="239">
        <v>3</v>
      </c>
      <c r="G60" s="239">
        <v>3</v>
      </c>
      <c r="H60" s="239">
        <v>3</v>
      </c>
      <c r="I60" s="242">
        <v>2</v>
      </c>
      <c r="J60" s="60"/>
    </row>
    <row r="61" spans="2:10" s="58" customFormat="1" ht="20.100000000000001" customHeight="1">
      <c r="B61" s="242">
        <v>51</v>
      </c>
      <c r="C61" s="278" t="str">
        <f>'Student Details'!D63</f>
        <v xml:space="preserve"> 17EE401</v>
      </c>
      <c r="D61" s="278" t="str">
        <f>'Student Details'!E63</f>
        <v xml:space="preserve"> AMITH MAHAGAVNKAR</v>
      </c>
      <c r="E61" s="239">
        <v>2</v>
      </c>
      <c r="F61" s="239">
        <v>3</v>
      </c>
      <c r="G61" s="239">
        <v>3</v>
      </c>
      <c r="H61" s="239">
        <v>3</v>
      </c>
      <c r="I61" s="242">
        <v>2</v>
      </c>
      <c r="J61" s="60"/>
    </row>
    <row r="62" spans="2:10" s="58" customFormat="1" ht="20.100000000000001" customHeight="1">
      <c r="B62" s="242">
        <v>52</v>
      </c>
      <c r="C62" s="278" t="str">
        <f>'Student Details'!D64</f>
        <v xml:space="preserve"> 17EE402</v>
      </c>
      <c r="D62" s="278" t="str">
        <f>'Student Details'!E64</f>
        <v xml:space="preserve"> DEVIKARANI M C</v>
      </c>
      <c r="E62" s="239">
        <v>3</v>
      </c>
      <c r="F62" s="239">
        <v>3</v>
      </c>
      <c r="G62" s="239">
        <v>3</v>
      </c>
      <c r="H62" s="239">
        <v>3</v>
      </c>
      <c r="I62" s="242">
        <v>3</v>
      </c>
      <c r="J62" s="60"/>
    </row>
    <row r="63" spans="2:10" s="58" customFormat="1" ht="20.100000000000001" customHeight="1">
      <c r="B63" s="242">
        <v>53</v>
      </c>
      <c r="C63" s="278" t="str">
        <f>'Student Details'!D65</f>
        <v xml:space="preserve"> 17EE403</v>
      </c>
      <c r="D63" s="278" t="str">
        <f>'Student Details'!E65</f>
        <v xml:space="preserve"> HAMSALEKHA V S</v>
      </c>
      <c r="E63" s="239">
        <v>3</v>
      </c>
      <c r="F63" s="239">
        <v>2</v>
      </c>
      <c r="G63" s="239">
        <v>2</v>
      </c>
      <c r="H63" s="239">
        <v>3</v>
      </c>
      <c r="I63" s="242">
        <v>3</v>
      </c>
      <c r="J63" s="60"/>
    </row>
    <row r="64" spans="2:10" s="58" customFormat="1" ht="20.100000000000001" customHeight="1">
      <c r="B64" s="242">
        <v>54</v>
      </c>
      <c r="C64" s="278" t="str">
        <f>'Student Details'!D66</f>
        <v xml:space="preserve"> 17EE404</v>
      </c>
      <c r="D64" s="278" t="str">
        <f>'Student Details'!E66</f>
        <v xml:space="preserve"> HARISH S</v>
      </c>
      <c r="E64" s="239">
        <v>3</v>
      </c>
      <c r="F64" s="239">
        <v>3</v>
      </c>
      <c r="G64" s="239">
        <v>3</v>
      </c>
      <c r="H64" s="239">
        <v>3</v>
      </c>
      <c r="I64" s="242">
        <v>2</v>
      </c>
      <c r="J64" s="60"/>
    </row>
    <row r="65" spans="2:10" s="58" customFormat="1" ht="20.100000000000001" customHeight="1">
      <c r="B65" s="242">
        <v>55</v>
      </c>
      <c r="C65" s="278" t="str">
        <f>'Student Details'!D67</f>
        <v xml:space="preserve"> 17EE405</v>
      </c>
      <c r="D65" s="278" t="str">
        <f>'Student Details'!E67</f>
        <v xml:space="preserve"> J ASIYA</v>
      </c>
      <c r="E65" s="239">
        <v>2</v>
      </c>
      <c r="F65" s="239">
        <v>3</v>
      </c>
      <c r="G65" s="239">
        <v>3</v>
      </c>
      <c r="H65" s="239">
        <v>3</v>
      </c>
      <c r="I65" s="242">
        <v>2</v>
      </c>
      <c r="J65" s="60"/>
    </row>
    <row r="66" spans="2:10" s="58" customFormat="1" ht="20.100000000000001" customHeight="1">
      <c r="B66" s="242">
        <v>56</v>
      </c>
      <c r="C66" s="278" t="str">
        <f>'Student Details'!D68</f>
        <v xml:space="preserve"> 17EE406</v>
      </c>
      <c r="D66" s="278" t="str">
        <f>'Student Details'!E68</f>
        <v xml:space="preserve"> MANJUNATHA K</v>
      </c>
      <c r="E66" s="239">
        <v>3</v>
      </c>
      <c r="F66" s="239">
        <v>3</v>
      </c>
      <c r="G66" s="239">
        <v>1</v>
      </c>
      <c r="H66" s="239">
        <v>3</v>
      </c>
      <c r="I66" s="242">
        <v>2</v>
      </c>
      <c r="J66" s="60"/>
    </row>
    <row r="67" spans="2:10" s="58" customFormat="1" ht="20.100000000000001" customHeight="1">
      <c r="B67" s="242">
        <v>57</v>
      </c>
      <c r="C67" s="278" t="str">
        <f>'Student Details'!D69</f>
        <v xml:space="preserve"> 17EE408</v>
      </c>
      <c r="D67" s="278" t="str">
        <f>'Student Details'!E69</f>
        <v xml:space="preserve"> RAVINDRA</v>
      </c>
      <c r="E67" s="239">
        <v>2</v>
      </c>
      <c r="F67" s="239">
        <v>3</v>
      </c>
      <c r="G67" s="239">
        <v>3</v>
      </c>
      <c r="H67" s="239">
        <v>3</v>
      </c>
      <c r="I67" s="242">
        <v>2</v>
      </c>
      <c r="J67" s="60"/>
    </row>
    <row r="68" spans="2:10" s="58" customFormat="1" ht="20.100000000000001" customHeight="1">
      <c r="B68" s="242">
        <v>58</v>
      </c>
      <c r="C68" s="278" t="str">
        <f>'Student Details'!D70</f>
        <v xml:space="preserve"> 17EE409</v>
      </c>
      <c r="D68" s="278" t="str">
        <f>'Student Details'!E70</f>
        <v xml:space="preserve"> SAMARTHA NAVALE</v>
      </c>
      <c r="E68" s="239">
        <v>3</v>
      </c>
      <c r="F68" s="239">
        <v>3</v>
      </c>
      <c r="G68" s="239">
        <v>1</v>
      </c>
      <c r="H68" s="239">
        <v>2</v>
      </c>
      <c r="I68" s="242">
        <v>3</v>
      </c>
      <c r="J68" s="60"/>
    </row>
    <row r="69" spans="2:10" s="58" customFormat="1" ht="20.100000000000001" customHeight="1">
      <c r="B69" s="242">
        <v>59</v>
      </c>
      <c r="C69" s="278" t="str">
        <f>'Student Details'!D71</f>
        <v xml:space="preserve"> 17EE410</v>
      </c>
      <c r="D69" s="278" t="str">
        <f>'Student Details'!E71</f>
        <v xml:space="preserve"> SNEHA MATHAPATI</v>
      </c>
      <c r="E69" s="239">
        <v>3</v>
      </c>
      <c r="F69" s="239">
        <v>3</v>
      </c>
      <c r="G69" s="239">
        <v>3</v>
      </c>
      <c r="H69" s="239">
        <v>3</v>
      </c>
      <c r="I69" s="242">
        <v>3</v>
      </c>
      <c r="J69" s="60"/>
    </row>
    <row r="70" spans="2:10" s="58" customFormat="1" ht="20.100000000000001" customHeight="1">
      <c r="B70" s="242">
        <v>60</v>
      </c>
      <c r="C70" s="278" t="str">
        <f>'Student Details'!D72</f>
        <v xml:space="preserve"> 17EE411</v>
      </c>
      <c r="D70" s="278" t="str">
        <f>'Student Details'!E72</f>
        <v xml:space="preserve"> SUHAS T A</v>
      </c>
      <c r="E70" s="239">
        <v>3</v>
      </c>
      <c r="F70" s="239">
        <v>2</v>
      </c>
      <c r="G70" s="239">
        <v>2</v>
      </c>
      <c r="H70" s="239">
        <v>3</v>
      </c>
      <c r="I70" s="242">
        <v>3</v>
      </c>
      <c r="J70" s="60"/>
    </row>
    <row r="71" spans="2:10" s="58" customFormat="1" ht="20.100000000000001" customHeight="1">
      <c r="B71" s="242">
        <v>61</v>
      </c>
      <c r="C71" s="278" t="str">
        <f>'Student Details'!D73</f>
        <v xml:space="preserve"> 17EE412</v>
      </c>
      <c r="D71" s="278" t="str">
        <f>'Student Details'!E73</f>
        <v xml:space="preserve"> VARSHA</v>
      </c>
      <c r="E71" s="239">
        <v>3</v>
      </c>
      <c r="F71" s="239">
        <v>3</v>
      </c>
      <c r="G71" s="239">
        <v>3</v>
      </c>
      <c r="H71" s="239">
        <v>3</v>
      </c>
      <c r="I71" s="242">
        <v>2</v>
      </c>
      <c r="J71" s="60"/>
    </row>
    <row r="72" spans="2:10" s="58" customFormat="1" ht="20.100000000000001" customHeight="1">
      <c r="B72" s="242">
        <v>62</v>
      </c>
      <c r="C72" s="278" t="str">
        <f>'Student Details'!D74</f>
        <v/>
      </c>
      <c r="D72" s="278" t="str">
        <f>'Student Details'!E74</f>
        <v/>
      </c>
      <c r="E72" s="239"/>
      <c r="F72" s="239"/>
      <c r="G72" s="239"/>
      <c r="H72" s="239"/>
      <c r="I72" s="242"/>
      <c r="J72" s="60"/>
    </row>
    <row r="73" spans="2:10" s="58" customFormat="1" ht="20.100000000000001" customHeight="1">
      <c r="B73" s="289">
        <v>63</v>
      </c>
      <c r="C73" s="290" t="str">
        <f>'Student Details'!D75</f>
        <v/>
      </c>
      <c r="D73" s="290" t="str">
        <f>'Student Details'!E75</f>
        <v/>
      </c>
      <c r="E73" s="291"/>
      <c r="F73" s="291"/>
      <c r="G73" s="291"/>
      <c r="H73" s="291"/>
      <c r="I73" s="289"/>
      <c r="J73" s="60"/>
    </row>
    <row r="74" spans="2:10" s="58" customFormat="1" ht="20.100000000000001" customHeight="1">
      <c r="B74" s="242">
        <v>64</v>
      </c>
      <c r="C74" s="278" t="str">
        <f>'Student Details'!D76</f>
        <v/>
      </c>
      <c r="D74" s="278" t="str">
        <f>'Student Details'!E76</f>
        <v/>
      </c>
      <c r="E74" s="239"/>
      <c r="F74" s="239"/>
      <c r="G74" s="239"/>
      <c r="H74" s="239"/>
      <c r="I74" s="242"/>
      <c r="J74" s="60"/>
    </row>
    <row r="75" spans="2:10" s="58" customFormat="1" ht="20.100000000000001" customHeight="1">
      <c r="B75" s="242"/>
      <c r="C75" s="278"/>
      <c r="D75" s="278"/>
      <c r="E75" s="239"/>
      <c r="F75" s="239"/>
      <c r="G75" s="239"/>
      <c r="H75" s="239"/>
      <c r="I75" s="242"/>
      <c r="J75" s="60"/>
    </row>
    <row r="76" spans="2:10" s="58" customFormat="1" ht="20.100000000000001" customHeight="1">
      <c r="B76" s="60"/>
      <c r="C76" s="269"/>
      <c r="D76" s="269"/>
      <c r="E76" s="93"/>
      <c r="F76" s="93"/>
      <c r="G76" s="93"/>
      <c r="H76" s="93"/>
      <c r="I76" s="60"/>
    </row>
    <row r="77" spans="2:10" s="58" customFormat="1" ht="20.100000000000001" customHeight="1">
      <c r="B77" s="60"/>
      <c r="C77" s="269"/>
      <c r="D77" s="269"/>
      <c r="E77" s="93"/>
      <c r="F77" s="93"/>
      <c r="G77" s="93"/>
      <c r="H77" s="93"/>
      <c r="I77" s="60"/>
    </row>
    <row r="78" spans="2:10" s="58" customFormat="1" ht="20.100000000000001" customHeight="1">
      <c r="B78" s="60"/>
      <c r="C78" s="269"/>
      <c r="D78" s="269"/>
      <c r="E78" s="93"/>
      <c r="F78" s="93"/>
      <c r="G78" s="93"/>
      <c r="H78" s="93"/>
      <c r="I78" s="60"/>
    </row>
    <row r="79" spans="2:10" s="58" customFormat="1" ht="20.100000000000001" customHeight="1">
      <c r="B79" s="60"/>
      <c r="C79" s="269"/>
      <c r="D79" s="269"/>
      <c r="E79" s="93"/>
      <c r="F79" s="93"/>
      <c r="G79" s="93"/>
      <c r="H79" s="93"/>
      <c r="I79" s="60"/>
    </row>
    <row r="80" spans="2:10" s="58" customFormat="1" ht="20.100000000000001" customHeight="1">
      <c r="B80" s="60"/>
      <c r="C80" s="269"/>
      <c r="D80" s="269"/>
      <c r="E80" s="92"/>
      <c r="F80" s="92"/>
      <c r="G80" s="92"/>
      <c r="H80" s="92"/>
      <c r="I80" s="60"/>
    </row>
    <row r="81" spans="2:10" s="58" customFormat="1" ht="20.100000000000001" customHeight="1">
      <c r="B81" s="60"/>
      <c r="C81" s="269"/>
      <c r="D81" s="269"/>
      <c r="E81" s="92"/>
      <c r="F81" s="92"/>
      <c r="G81" s="92"/>
      <c r="H81" s="92"/>
      <c r="I81" s="60"/>
    </row>
    <row r="82" spans="2:10" s="58" customFormat="1" ht="20.100000000000001" customHeight="1">
      <c r="B82" s="60"/>
      <c r="C82" s="269"/>
      <c r="D82" s="269"/>
      <c r="E82" s="92"/>
      <c r="F82" s="92"/>
      <c r="G82" s="92"/>
      <c r="H82" s="92"/>
      <c r="I82" s="60"/>
    </row>
    <row r="83" spans="2:10" s="58" customFormat="1" ht="20.100000000000001" customHeight="1">
      <c r="B83" s="60"/>
      <c r="C83" s="269"/>
      <c r="D83" s="269"/>
      <c r="E83" s="92"/>
      <c r="F83" s="92"/>
      <c r="G83" s="92"/>
      <c r="H83" s="92"/>
      <c r="I83" s="60"/>
    </row>
    <row r="84" spans="2:10" s="58" customFormat="1" ht="20.100000000000001" customHeight="1">
      <c r="B84" s="60"/>
      <c r="C84" s="269"/>
      <c r="D84" s="269"/>
      <c r="E84" s="92"/>
      <c r="F84" s="92"/>
      <c r="G84" s="92"/>
      <c r="H84" s="92"/>
      <c r="I84" s="60"/>
    </row>
    <row r="85" spans="2:10" ht="21.75" customHeight="1">
      <c r="C85" s="269"/>
      <c r="D85" s="269"/>
      <c r="E85" s="93"/>
      <c r="F85" s="93"/>
      <c r="G85" s="93"/>
      <c r="H85" s="93"/>
      <c r="I85" s="60"/>
      <c r="J85" s="60"/>
    </row>
    <row r="86" spans="2:10" ht="21.75" customHeight="1">
      <c r="E86" s="92"/>
      <c r="F86" s="92"/>
      <c r="G86" s="92"/>
      <c r="H86" s="92"/>
    </row>
    <row r="87" spans="2:10" ht="21.75" customHeight="1">
      <c r="E87" s="92"/>
      <c r="F87" s="92"/>
      <c r="G87" s="92"/>
      <c r="H87" s="92"/>
    </row>
    <row r="88" spans="2:10" ht="21.75" customHeight="1">
      <c r="E88" s="92"/>
      <c r="F88" s="92"/>
      <c r="G88" s="92"/>
      <c r="H88" s="92"/>
    </row>
  </sheetData>
  <mergeCells count="8">
    <mergeCell ref="A1:J1"/>
    <mergeCell ref="A2:J2"/>
    <mergeCell ref="A9:J9"/>
    <mergeCell ref="B5:D5"/>
    <mergeCell ref="B6:D6"/>
    <mergeCell ref="B7:D7"/>
    <mergeCell ref="G5:J5"/>
    <mergeCell ref="G6:J6"/>
  </mergeCells>
  <pageMargins left="0.7" right="0.7" top="0.75" bottom="0.75" header="0.3" footer="0.3"/>
  <pageSetup scale="94" orientation="portrait" r:id="rId1"/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Z20"/>
  <sheetViews>
    <sheetView zoomScale="70" zoomScaleNormal="70" workbookViewId="0">
      <selection activeCell="E9" sqref="E9"/>
    </sheetView>
  </sheetViews>
  <sheetFormatPr defaultColWidth="11.42578125" defaultRowHeight="20.25" customHeight="1"/>
  <cols>
    <col min="1" max="11" width="9.140625" style="80" customWidth="1"/>
    <col min="12" max="16384" width="11.42578125" style="80"/>
  </cols>
  <sheetData>
    <row r="1" spans="1:26" ht="20.25" customHeight="1">
      <c r="A1" s="457" t="s">
        <v>191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26" ht="20.25" customHeight="1">
      <c r="A2" s="457" t="s">
        <v>192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</row>
    <row r="3" spans="1:26" ht="20.25" customHeight="1">
      <c r="A3" s="62"/>
      <c r="B3" s="61"/>
      <c r="D3" s="62"/>
      <c r="E3" s="62"/>
      <c r="F3" s="62"/>
      <c r="G3" s="61"/>
      <c r="H3" s="61"/>
    </row>
    <row r="4" spans="1:26" ht="20.25" customHeight="1">
      <c r="A4" s="62"/>
      <c r="B4" s="61"/>
      <c r="C4" s="62"/>
      <c r="D4" s="62"/>
      <c r="E4" s="62"/>
      <c r="F4" s="62"/>
      <c r="G4" s="61"/>
      <c r="H4" s="61"/>
    </row>
    <row r="5" spans="1:26" ht="20.25" customHeight="1">
      <c r="A5" s="62"/>
      <c r="B5" s="442" t="s">
        <v>374</v>
      </c>
      <c r="C5" s="443"/>
      <c r="D5" s="443"/>
      <c r="E5" s="443"/>
      <c r="F5" s="443"/>
      <c r="G5" s="443"/>
      <c r="H5" s="201"/>
    </row>
    <row r="6" spans="1:26" ht="20.25" customHeight="1">
      <c r="A6" s="63"/>
      <c r="B6" s="442" t="s">
        <v>194</v>
      </c>
      <c r="C6" s="443"/>
      <c r="D6" s="443"/>
      <c r="E6" s="443"/>
      <c r="F6" s="443"/>
      <c r="G6" s="443"/>
      <c r="H6" s="180"/>
      <c r="I6" s="444" t="s">
        <v>206</v>
      </c>
      <c r="J6" s="443"/>
    </row>
    <row r="7" spans="1:26" ht="20.25" customHeight="1">
      <c r="A7" s="63"/>
      <c r="B7" s="442" t="s">
        <v>195</v>
      </c>
      <c r="C7" s="443"/>
      <c r="D7" s="443"/>
      <c r="E7" s="443"/>
      <c r="F7" s="443"/>
      <c r="G7" s="443"/>
      <c r="H7" s="180"/>
      <c r="I7" s="444" t="s">
        <v>207</v>
      </c>
      <c r="J7" s="443"/>
    </row>
    <row r="10" spans="1:26" ht="20.25" customHeight="1">
      <c r="C10" s="454" t="s">
        <v>215</v>
      </c>
      <c r="D10" s="455"/>
      <c r="E10" s="455"/>
      <c r="F10" s="455"/>
      <c r="G10" s="456"/>
      <c r="H10" s="271"/>
      <c r="V10" s="181"/>
      <c r="W10" s="181"/>
      <c r="X10" s="181"/>
      <c r="Y10" s="181"/>
      <c r="Z10" s="181"/>
    </row>
    <row r="11" spans="1:26" ht="30.6" customHeight="1">
      <c r="C11" s="271" t="s">
        <v>212</v>
      </c>
      <c r="D11" s="271" t="s">
        <v>216</v>
      </c>
      <c r="E11" s="271" t="s">
        <v>217</v>
      </c>
      <c r="F11" s="271" t="s">
        <v>218</v>
      </c>
      <c r="G11" s="271" t="s">
        <v>219</v>
      </c>
      <c r="H11" s="271" t="s">
        <v>205</v>
      </c>
      <c r="V11" s="181"/>
      <c r="W11" s="181"/>
      <c r="X11" s="181"/>
      <c r="Y11" s="181"/>
      <c r="Z11" s="181"/>
    </row>
    <row r="12" spans="1:26" ht="30.6" customHeight="1">
      <c r="C12" s="271" t="s">
        <v>369</v>
      </c>
      <c r="D12" s="245">
        <f>'First Test'!M79*100</f>
        <v>68.852459016393439</v>
      </c>
      <c r="E12" s="271">
        <f>'Second Test'!P79*100</f>
        <v>90</v>
      </c>
      <c r="F12" s="271"/>
      <c r="G12" s="271">
        <f>SUM(D12,E12) / COUNTIF($D12:$F12,"&gt;0.0")</f>
        <v>79.426229508196712</v>
      </c>
      <c r="H12" s="271">
        <f>'Student Details'!V13* 100</f>
        <v>70</v>
      </c>
      <c r="V12" s="181"/>
      <c r="W12" s="181"/>
      <c r="X12" s="181"/>
      <c r="Y12" s="181"/>
      <c r="Z12" s="181"/>
    </row>
    <row r="13" spans="1:26" ht="30.6" customHeight="1">
      <c r="C13" s="271" t="s">
        <v>370</v>
      </c>
      <c r="D13" s="245">
        <f>'First Test'!P79*100</f>
        <v>35.185185185185183</v>
      </c>
      <c r="E13" s="271">
        <f>'Second Test'!S79*100</f>
        <v>52.459016393442624</v>
      </c>
      <c r="F13" s="271"/>
      <c r="G13" s="271">
        <f>SUM(D13,E13) / COUNTIF($D13:$F13,"&gt;0.0")</f>
        <v>43.822100789313907</v>
      </c>
      <c r="H13" s="271">
        <f>'Student Details'!V14* 100</f>
        <v>70</v>
      </c>
      <c r="V13" s="181"/>
      <c r="W13" s="181"/>
      <c r="X13" s="181"/>
      <c r="Y13" s="181"/>
      <c r="Z13" s="181"/>
    </row>
    <row r="14" spans="1:26" ht="30.6" customHeight="1">
      <c r="C14" s="271" t="s">
        <v>371</v>
      </c>
      <c r="D14" s="245"/>
      <c r="E14" s="271">
        <f>'Second Test'!V79*100</f>
        <v>67.272727272727266</v>
      </c>
      <c r="F14" s="271">
        <f>'Third test'!M79*100</f>
        <v>75</v>
      </c>
      <c r="G14" s="271">
        <f>SUM(E14,F14) / COUNTIF($D14:$F14,"&gt;0.0")</f>
        <v>71.136363636363626</v>
      </c>
      <c r="H14" s="271">
        <f>'Student Details'!V15* 100</f>
        <v>70</v>
      </c>
    </row>
    <row r="15" spans="1:26" ht="30.6" customHeight="1">
      <c r="C15" s="271" t="s">
        <v>372</v>
      </c>
      <c r="D15" s="245"/>
      <c r="E15" s="271"/>
      <c r="F15" s="271">
        <f>'Third test'!P79*100</f>
        <v>66.101694915254242</v>
      </c>
      <c r="G15" s="271">
        <f>SUM(F15) / COUNTIF($D15:$F15,"&gt;0.0")</f>
        <v>66.101694915254242</v>
      </c>
      <c r="H15" s="271">
        <f>'Student Details'!V16* 100</f>
        <v>70</v>
      </c>
    </row>
    <row r="16" spans="1:26" ht="30.6" customHeight="1">
      <c r="C16" s="271" t="s">
        <v>373</v>
      </c>
      <c r="D16" s="271"/>
      <c r="E16" s="271"/>
      <c r="F16" s="271">
        <f>'Third test'!S79*100</f>
        <v>69.090909090909093</v>
      </c>
      <c r="G16" s="271">
        <f>SUM(F16) / COUNTIF($D16:$F16,"&gt;0.0")</f>
        <v>69.090909090909093</v>
      </c>
      <c r="H16" s="271">
        <f>'Student Details'!V17* 100</f>
        <v>70</v>
      </c>
    </row>
    <row r="17" spans="3:21" ht="30.6" customHeight="1">
      <c r="C17" s="182"/>
      <c r="D17" s="182"/>
      <c r="E17" s="182"/>
      <c r="F17" s="182"/>
      <c r="G17" s="182"/>
      <c r="H17" s="182"/>
    </row>
    <row r="18" spans="3:21" ht="30.6" customHeight="1">
      <c r="C18" s="182"/>
      <c r="D18" s="182"/>
      <c r="E18" s="182"/>
      <c r="F18" s="182"/>
      <c r="G18" s="182"/>
      <c r="H18" s="182"/>
      <c r="S18" s="79"/>
      <c r="T18" s="90"/>
      <c r="U18" s="90"/>
    </row>
    <row r="19" spans="3:21" ht="30.6" customHeight="1">
      <c r="C19" s="182"/>
      <c r="D19" s="182"/>
      <c r="E19" s="182"/>
      <c r="F19" s="182"/>
      <c r="G19" s="182"/>
      <c r="H19" s="182"/>
      <c r="S19" s="79"/>
    </row>
    <row r="20" spans="3:21" ht="20.25" customHeight="1">
      <c r="C20" s="202"/>
      <c r="D20" s="202"/>
      <c r="E20" s="202"/>
      <c r="F20" s="202"/>
      <c r="G20" s="202"/>
      <c r="S20" s="90"/>
    </row>
  </sheetData>
  <mergeCells count="8">
    <mergeCell ref="C10:G10"/>
    <mergeCell ref="A1:K1"/>
    <mergeCell ref="A2:K2"/>
    <mergeCell ref="B5:G5"/>
    <mergeCell ref="B6:G6"/>
    <mergeCell ref="B7:G7"/>
    <mergeCell ref="I6:J6"/>
    <mergeCell ref="I7:J7"/>
  </mergeCells>
  <pageMargins left="0.2" right="0.2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AJ105"/>
  <sheetViews>
    <sheetView showRowColHeaders="0" workbookViewId="0">
      <selection activeCell="J16" sqref="J16"/>
    </sheetView>
  </sheetViews>
  <sheetFormatPr defaultColWidth="18.28515625" defaultRowHeight="18.75" customHeight="1"/>
  <cols>
    <col min="1" max="1" width="7.5703125" style="88" customWidth="1"/>
    <col min="2" max="3" width="8" style="59" customWidth="1"/>
    <col min="4" max="5" width="10.7109375" style="59" customWidth="1"/>
    <col min="6" max="6" width="1.7109375" style="59" customWidth="1"/>
    <col min="7" max="8" width="10.7109375" style="59" customWidth="1"/>
    <col min="9" max="9" width="1.7109375" style="59" customWidth="1"/>
    <col min="10" max="11" width="10.7109375" style="58" customWidth="1"/>
    <col min="12" max="13" width="13" style="58" customWidth="1"/>
    <col min="14" max="15" width="15.7109375" style="59" customWidth="1"/>
    <col min="16" max="16" width="10.7109375" style="59" customWidth="1"/>
    <col min="17" max="18" width="20.7109375" style="59" customWidth="1"/>
    <col min="19" max="19" width="20.7109375" style="90" customWidth="1"/>
    <col min="20" max="21" width="20.7109375" style="57" hidden="1" customWidth="1"/>
    <col min="22" max="24" width="20.7109375" style="59" customWidth="1"/>
    <col min="25" max="26" width="20.7109375" style="88" customWidth="1"/>
    <col min="27" max="36" width="18.28515625" style="88"/>
    <col min="37" max="16384" width="18.28515625" style="89"/>
  </cols>
  <sheetData>
    <row r="1" spans="1:30" ht="18.75" customHeight="1">
      <c r="A1" s="461" t="s">
        <v>191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88"/>
      <c r="Q1" s="88"/>
      <c r="S1" s="88"/>
      <c r="T1" s="57" t="s">
        <v>228</v>
      </c>
      <c r="U1" s="135" t="s">
        <v>229</v>
      </c>
    </row>
    <row r="2" spans="1:30" s="59" customFormat="1" ht="18.75" customHeight="1">
      <c r="A2" s="457" t="s">
        <v>223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304"/>
      <c r="P2" s="304"/>
      <c r="Q2" s="81"/>
      <c r="R2" s="81"/>
      <c r="T2" s="57" t="s">
        <v>5</v>
      </c>
      <c r="U2" s="57">
        <v>8</v>
      </c>
    </row>
    <row r="3" spans="1:30" s="59" customFormat="1" ht="9.9499999999999993" customHeight="1">
      <c r="A3" s="300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63"/>
      <c r="R3" s="81"/>
      <c r="T3" s="57" t="s">
        <v>232</v>
      </c>
      <c r="U3" s="71">
        <v>0</v>
      </c>
      <c r="W3" s="58"/>
      <c r="Z3" s="58"/>
      <c r="AA3" s="58"/>
      <c r="AB3" s="58"/>
      <c r="AD3" s="58"/>
    </row>
    <row r="4" spans="1:30" s="59" customFormat="1" ht="20.100000000000001" customHeight="1">
      <c r="A4" s="82"/>
      <c r="B4" s="459" t="s">
        <v>224</v>
      </c>
      <c r="C4" s="460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55"/>
      <c r="P4" s="55"/>
      <c r="Q4" s="82"/>
      <c r="R4" s="82"/>
      <c r="T4" s="71" t="s">
        <v>6</v>
      </c>
      <c r="U4" s="71">
        <v>7</v>
      </c>
      <c r="Y4" s="58"/>
      <c r="Z4" s="58"/>
      <c r="AA4" s="58"/>
      <c r="AB4" s="58"/>
    </row>
    <row r="5" spans="1:30" s="59" customFormat="1" ht="35.1" customHeight="1">
      <c r="B5" s="296" t="s">
        <v>225</v>
      </c>
      <c r="C5" s="251">
        <v>100</v>
      </c>
      <c r="D5" s="466" t="s">
        <v>226</v>
      </c>
      <c r="E5" s="467"/>
      <c r="F5" s="304"/>
      <c r="G5" s="468" t="s">
        <v>227</v>
      </c>
      <c r="H5" s="469"/>
      <c r="I5" s="469"/>
      <c r="J5" s="469"/>
      <c r="K5" s="470"/>
      <c r="L5" s="254" t="s">
        <v>234</v>
      </c>
      <c r="M5" s="254" t="s">
        <v>235</v>
      </c>
      <c r="N5" s="254" t="s">
        <v>236</v>
      </c>
      <c r="O5" s="304"/>
      <c r="P5" s="304"/>
      <c r="T5" s="57" t="s">
        <v>7</v>
      </c>
      <c r="U5" s="71">
        <v>6</v>
      </c>
      <c r="V5" s="58"/>
      <c r="W5" s="58"/>
      <c r="Z5" s="58"/>
      <c r="AA5" s="58"/>
      <c r="AB5" s="58"/>
      <c r="AD5" s="64"/>
    </row>
    <row r="6" spans="1:30" s="59" customFormat="1" ht="35.1" customHeight="1">
      <c r="B6" s="301" t="s">
        <v>109</v>
      </c>
      <c r="C6" s="255">
        <v>4</v>
      </c>
      <c r="D6" s="252" t="s">
        <v>62</v>
      </c>
      <c r="E6" s="252" t="s">
        <v>63</v>
      </c>
      <c r="F6" s="57"/>
      <c r="G6" s="301" t="s">
        <v>228</v>
      </c>
      <c r="H6" s="301" t="s">
        <v>233</v>
      </c>
      <c r="I6" s="304"/>
      <c r="J6" s="301" t="s">
        <v>228</v>
      </c>
      <c r="K6" s="253" t="s">
        <v>233</v>
      </c>
      <c r="L6" s="293">
        <f>'Student Details'!Q9</f>
        <v>0.4</v>
      </c>
      <c r="M6" s="293" t="str">
        <f>IF(L6*100&gt;90,"S+",IF(L6*100&gt;80,"S",IF(L6*100&gt;70,"A",IF(L6*100&gt;60,"B",IF(L6*100&gt;50,"C",IF(L6*100&gt;40,"D","E"))))))</f>
        <v>E</v>
      </c>
      <c r="N6" s="293">
        <f>K80</f>
        <v>0.96721311475409832</v>
      </c>
      <c r="O6" s="304"/>
      <c r="P6" s="304"/>
      <c r="T6" s="57" t="s">
        <v>8</v>
      </c>
      <c r="U6" s="57">
        <v>5</v>
      </c>
      <c r="V6" s="58"/>
      <c r="W6" s="58"/>
      <c r="Z6" s="58"/>
      <c r="AA6" s="58"/>
      <c r="AB6" s="58"/>
      <c r="AD6" s="58"/>
    </row>
    <row r="7" spans="1:30" s="59" customFormat="1" ht="18.95" customHeight="1">
      <c r="B7" s="57"/>
      <c r="C7" s="57"/>
      <c r="D7" s="252" t="s">
        <v>369</v>
      </c>
      <c r="E7" s="252">
        <v>79.426229508196712</v>
      </c>
      <c r="F7" s="71"/>
      <c r="G7" s="296" t="s">
        <v>230</v>
      </c>
      <c r="H7" s="296">
        <f>COUNTIF($J$16:$J$76,$G$7)</f>
        <v>2</v>
      </c>
      <c r="I7" s="304"/>
      <c r="J7" s="296" t="s">
        <v>8</v>
      </c>
      <c r="K7" s="296">
        <f>COUNTIF($J$16:$J$76,$J$7)</f>
        <v>5</v>
      </c>
      <c r="L7" s="304"/>
      <c r="M7" s="304"/>
      <c r="N7" s="304"/>
      <c r="O7" s="300"/>
      <c r="P7" s="304"/>
      <c r="T7" s="57" t="s">
        <v>9</v>
      </c>
      <c r="U7" s="57">
        <v>4</v>
      </c>
      <c r="V7" s="58"/>
      <c r="W7" s="58"/>
      <c r="Z7" s="58"/>
      <c r="AA7" s="58"/>
      <c r="AB7" s="58"/>
      <c r="AD7" s="58"/>
    </row>
    <row r="8" spans="1:30" s="59" customFormat="1" ht="18.95" customHeight="1">
      <c r="B8" s="57"/>
      <c r="C8" s="57"/>
      <c r="D8" s="252" t="s">
        <v>370</v>
      </c>
      <c r="E8" s="252">
        <v>43.822100789313907</v>
      </c>
      <c r="F8" s="83"/>
      <c r="G8" s="296" t="s">
        <v>231</v>
      </c>
      <c r="H8" s="296">
        <f>COUNTIF($J$16:$J$76,$G$8)</f>
        <v>11</v>
      </c>
      <c r="I8" s="304"/>
      <c r="J8" s="296" t="s">
        <v>9</v>
      </c>
      <c r="K8" s="296">
        <f>COUNTIF($J$16:$J$76,$J$8)</f>
        <v>3</v>
      </c>
      <c r="L8" s="304"/>
      <c r="M8" s="57"/>
      <c r="N8" s="304"/>
      <c r="O8" s="84"/>
      <c r="P8" s="57"/>
      <c r="T8" s="57" t="s">
        <v>10</v>
      </c>
      <c r="U8" s="71">
        <v>0</v>
      </c>
      <c r="V8" s="58"/>
      <c r="W8" s="58"/>
      <c r="Z8" s="58"/>
      <c r="AA8" s="58"/>
      <c r="AB8" s="58"/>
      <c r="AD8" s="58"/>
    </row>
    <row r="9" spans="1:30" s="59" customFormat="1" ht="18.95" customHeight="1">
      <c r="B9" s="57"/>
      <c r="C9" s="57"/>
      <c r="D9" s="252" t="s">
        <v>371</v>
      </c>
      <c r="E9" s="252">
        <v>71.136363636363626</v>
      </c>
      <c r="F9" s="71"/>
      <c r="G9" s="296" t="s">
        <v>5</v>
      </c>
      <c r="H9" s="296">
        <f>COUNTIF($J$16:$J$76,$G$9)</f>
        <v>13</v>
      </c>
      <c r="I9" s="304"/>
      <c r="J9" s="296" t="s">
        <v>10</v>
      </c>
      <c r="K9" s="296">
        <f>COUNTIF($J$16:$J$76,$J$9)</f>
        <v>2</v>
      </c>
      <c r="L9" s="304"/>
      <c r="M9" s="57"/>
      <c r="N9" s="304"/>
      <c r="O9" s="300"/>
      <c r="P9" s="57"/>
      <c r="T9" s="57" t="s">
        <v>231</v>
      </c>
      <c r="U9" s="57">
        <v>9</v>
      </c>
      <c r="V9" s="58"/>
      <c r="W9" s="58"/>
      <c r="Y9" s="58"/>
      <c r="Z9" s="58"/>
      <c r="AA9" s="58"/>
      <c r="AB9" s="58"/>
    </row>
    <row r="10" spans="1:30" s="59" customFormat="1" ht="18.95" customHeight="1">
      <c r="B10" s="57"/>
      <c r="C10" s="57"/>
      <c r="D10" s="252" t="s">
        <v>372</v>
      </c>
      <c r="E10" s="252">
        <v>66.101694915254242</v>
      </c>
      <c r="F10" s="57"/>
      <c r="G10" s="303" t="s">
        <v>6</v>
      </c>
      <c r="H10" s="303">
        <f>COUNTIF($J$16:$J$76,$G$10)</f>
        <v>11</v>
      </c>
      <c r="I10" s="304"/>
      <c r="J10" s="296" t="s">
        <v>232</v>
      </c>
      <c r="K10" s="296">
        <f>COUNTIF($J$16:$J$76,$J$10)</f>
        <v>0</v>
      </c>
      <c r="L10" s="304"/>
      <c r="M10" s="57"/>
      <c r="N10" s="304"/>
      <c r="O10" s="304"/>
      <c r="P10" s="57"/>
      <c r="T10" s="71" t="s">
        <v>230</v>
      </c>
      <c r="U10" s="71">
        <v>10</v>
      </c>
      <c r="V10" s="58"/>
      <c r="W10" s="58"/>
      <c r="X10" s="58"/>
      <c r="Y10" s="58"/>
      <c r="AA10" s="58"/>
      <c r="AB10" s="58"/>
    </row>
    <row r="11" spans="1:30" s="59" customFormat="1" ht="18.95" customHeight="1">
      <c r="B11" s="57"/>
      <c r="C11" s="57"/>
      <c r="D11" s="252" t="s">
        <v>373</v>
      </c>
      <c r="E11" s="252">
        <v>69.090909090909093</v>
      </c>
      <c r="F11" s="57"/>
      <c r="G11" s="294" t="s">
        <v>7</v>
      </c>
      <c r="H11" s="296">
        <f>COUNTIF($J$16:$J$76,$G$11)</f>
        <v>14</v>
      </c>
      <c r="I11" s="304"/>
      <c r="J11" s="304"/>
      <c r="K11" s="304"/>
      <c r="L11" s="304"/>
      <c r="M11" s="56"/>
      <c r="N11" s="304"/>
      <c r="O11" s="304"/>
      <c r="P11" s="56"/>
      <c r="T11" s="57"/>
      <c r="U11" s="57"/>
      <c r="Y11" s="58"/>
      <c r="AA11" s="58"/>
      <c r="AB11" s="58"/>
    </row>
    <row r="12" spans="1:30" s="59" customFormat="1" ht="9" customHeight="1">
      <c r="B12" s="56"/>
      <c r="C12" s="56"/>
      <c r="D12" s="304"/>
      <c r="E12" s="304"/>
      <c r="F12" s="56"/>
      <c r="G12" s="304"/>
      <c r="H12" s="304"/>
      <c r="I12" s="304"/>
      <c r="J12" s="304"/>
      <c r="K12" s="304"/>
      <c r="L12" s="304"/>
      <c r="M12" s="56"/>
      <c r="N12" s="304"/>
      <c r="O12" s="304"/>
      <c r="P12" s="56"/>
      <c r="T12" s="57"/>
      <c r="U12" s="57"/>
      <c r="Y12" s="58"/>
      <c r="Z12" s="58"/>
      <c r="AA12" s="58"/>
      <c r="AB12" s="58"/>
    </row>
    <row r="13" spans="1:30" s="59" customFormat="1" ht="17.45" customHeight="1">
      <c r="B13" s="444" t="s">
        <v>375</v>
      </c>
      <c r="C13" s="443"/>
      <c r="D13" s="443"/>
      <c r="E13" s="443"/>
      <c r="F13" s="443"/>
      <c r="G13" s="443"/>
      <c r="H13" s="443"/>
      <c r="I13" s="461" t="s">
        <v>239</v>
      </c>
      <c r="J13" s="458"/>
      <c r="K13" s="458"/>
      <c r="L13" s="462" t="s">
        <v>195</v>
      </c>
      <c r="M13" s="463"/>
      <c r="N13" s="463"/>
      <c r="O13" s="304"/>
      <c r="P13" s="56"/>
      <c r="T13" s="57"/>
      <c r="U13" s="57"/>
      <c r="Y13" s="58"/>
      <c r="Z13" s="58"/>
      <c r="AA13" s="58"/>
      <c r="AB13" s="58"/>
    </row>
    <row r="14" spans="1:30" s="59" customFormat="1" ht="9" customHeight="1">
      <c r="B14" s="297"/>
      <c r="C14" s="297"/>
      <c r="D14" s="297"/>
      <c r="E14" s="297"/>
      <c r="F14" s="297"/>
      <c r="G14" s="297"/>
      <c r="H14" s="297"/>
      <c r="I14" s="304"/>
      <c r="J14" s="304"/>
      <c r="K14" s="304"/>
      <c r="L14" s="305"/>
      <c r="M14" s="305"/>
      <c r="N14" s="305"/>
      <c r="O14" s="56"/>
      <c r="P14" s="56"/>
      <c r="T14" s="57"/>
      <c r="U14" s="57"/>
      <c r="Y14" s="58"/>
      <c r="Z14" s="58"/>
      <c r="AA14" s="58"/>
      <c r="AB14" s="58"/>
    </row>
    <row r="15" spans="1:30" s="59" customFormat="1" ht="33" customHeight="1">
      <c r="B15" s="296" t="s">
        <v>196</v>
      </c>
      <c r="C15" s="435" t="s">
        <v>47</v>
      </c>
      <c r="D15" s="433"/>
      <c r="E15" s="435" t="s">
        <v>197</v>
      </c>
      <c r="F15" s="433"/>
      <c r="G15" s="433"/>
      <c r="H15" s="433"/>
      <c r="I15" s="433"/>
      <c r="J15" s="296" t="s">
        <v>237</v>
      </c>
      <c r="K15" s="296" t="s">
        <v>238</v>
      </c>
      <c r="L15" s="56"/>
      <c r="M15" s="56"/>
      <c r="N15" s="56"/>
      <c r="O15" s="56"/>
      <c r="P15" s="56"/>
      <c r="T15" s="57"/>
      <c r="U15" s="57"/>
      <c r="Y15" s="58"/>
      <c r="Z15" s="58"/>
      <c r="AA15" s="58"/>
      <c r="AB15" s="58"/>
    </row>
    <row r="16" spans="1:30" s="60" customFormat="1" ht="15" customHeight="1">
      <c r="B16" s="242">
        <v>1</v>
      </c>
      <c r="C16" s="464" t="str">
        <f>'Student Details'!D13</f>
        <v xml:space="preserve"> 14EE029</v>
      </c>
      <c r="D16" s="465"/>
      <c r="E16" s="464" t="str">
        <f>'Student Details'!E13</f>
        <v xml:space="preserve"> VARUN K R</v>
      </c>
      <c r="F16" s="465"/>
      <c r="G16" s="465"/>
      <c r="H16" s="465"/>
      <c r="I16" s="465"/>
      <c r="J16" s="299" t="s">
        <v>8</v>
      </c>
      <c r="K16" s="242" t="str">
        <f>IFERROR(IF(SUM(VLOOKUP(J16,$T2:$U10,2),VLOOKUP(J16,$T2:$U10,2))/2&gt;=$L$6*10,"Y","N"),0)</f>
        <v>Y</v>
      </c>
      <c r="L16" s="256"/>
      <c r="M16" s="306"/>
    </row>
    <row r="17" spans="2:18" s="60" customFormat="1" ht="15" customHeight="1">
      <c r="B17" s="242">
        <v>2</v>
      </c>
      <c r="C17" s="464" t="str">
        <f>'Student Details'!D14</f>
        <v xml:space="preserve"> 15EE032</v>
      </c>
      <c r="D17" s="465"/>
      <c r="E17" s="464" t="str">
        <f>'Student Details'!E14</f>
        <v xml:space="preserve"> PUNEETH R</v>
      </c>
      <c r="F17" s="465"/>
      <c r="G17" s="465"/>
      <c r="H17" s="465"/>
      <c r="I17" s="465"/>
      <c r="J17" s="299" t="s">
        <v>10</v>
      </c>
      <c r="K17" s="242" t="str">
        <f>IFERROR(IF(SUM(VLOOKUP(J17,$T2:$U10,2),VLOOKUP(J17,$T2:$U10,2))/2&gt;=$L$6*10,"Y","N"),0)</f>
        <v>N</v>
      </c>
      <c r="L17" s="256"/>
      <c r="M17" s="306"/>
    </row>
    <row r="18" spans="2:18" s="60" customFormat="1" ht="15" customHeight="1">
      <c r="B18" s="242">
        <v>3</v>
      </c>
      <c r="C18" s="464" t="str">
        <f>'Student Details'!D15</f>
        <v xml:space="preserve"> 16EE004</v>
      </c>
      <c r="D18" s="465"/>
      <c r="E18" s="464" t="str">
        <f>'Student Details'!E15</f>
        <v xml:space="preserve"> ANIL S BARKI</v>
      </c>
      <c r="F18" s="465"/>
      <c r="G18" s="465"/>
      <c r="H18" s="465"/>
      <c r="I18" s="465"/>
      <c r="J18" s="299" t="s">
        <v>7</v>
      </c>
      <c r="K18" s="242" t="str">
        <f>IFERROR(IF(SUM(VLOOKUP(J18,$T2:$U10,2),VLOOKUP(J18,$T2:$U10,2))/2&gt;=$L$6*10,"Y","N"),0)</f>
        <v>Y</v>
      </c>
      <c r="L18" s="256"/>
      <c r="M18" s="306"/>
    </row>
    <row r="19" spans="2:18" s="60" customFormat="1" ht="15" customHeight="1">
      <c r="B19" s="242">
        <v>4</v>
      </c>
      <c r="C19" s="464" t="str">
        <f>'Student Details'!D16</f>
        <v xml:space="preserve"> 16EE005</v>
      </c>
      <c r="D19" s="465"/>
      <c r="E19" s="464" t="str">
        <f>'Student Details'!E16</f>
        <v xml:space="preserve"> ARCHANA B.</v>
      </c>
      <c r="F19" s="465"/>
      <c r="G19" s="465"/>
      <c r="H19" s="465"/>
      <c r="I19" s="465"/>
      <c r="J19" s="299" t="s">
        <v>231</v>
      </c>
      <c r="K19" s="242" t="str">
        <f>IFERROR(IF(SUM(VLOOKUP(J19,$T2:$U10,2),VLOOKUP(J19,$T2:$U10,2))/2&gt;=$L$6*10,"Y","N"),0)</f>
        <v>Y</v>
      </c>
      <c r="L19" s="256"/>
      <c r="M19" s="306"/>
    </row>
    <row r="20" spans="2:18" s="60" customFormat="1" ht="15" customHeight="1">
      <c r="B20" s="242">
        <v>5</v>
      </c>
      <c r="C20" s="464" t="str">
        <f>'Student Details'!D17</f>
        <v xml:space="preserve"> 16EE006</v>
      </c>
      <c r="D20" s="465"/>
      <c r="E20" s="464" t="str">
        <f>'Student Details'!E17</f>
        <v xml:space="preserve"> AYESHA SHAMAIL</v>
      </c>
      <c r="F20" s="465"/>
      <c r="G20" s="465"/>
      <c r="H20" s="465"/>
      <c r="I20" s="465"/>
      <c r="J20" s="299" t="s">
        <v>5</v>
      </c>
      <c r="K20" s="242" t="str">
        <f>IFERROR(IF(SUM(VLOOKUP(J20,$T2:$U10,2),VLOOKUP(J20,$T2:$U10,2))/2&gt;=$L$6*10,"Y","N"),0)</f>
        <v>Y</v>
      </c>
      <c r="L20" s="256"/>
      <c r="M20" s="306"/>
    </row>
    <row r="21" spans="2:18" s="60" customFormat="1" ht="15" customHeight="1">
      <c r="B21" s="298">
        <v>6</v>
      </c>
      <c r="C21" s="464" t="str">
        <f>'Student Details'!D18</f>
        <v xml:space="preserve"> 16EE008</v>
      </c>
      <c r="D21" s="465"/>
      <c r="E21" s="464" t="str">
        <f>'Student Details'!E18</f>
        <v xml:space="preserve"> BHAGYASHREE</v>
      </c>
      <c r="F21" s="465"/>
      <c r="G21" s="465"/>
      <c r="H21" s="465"/>
      <c r="I21" s="465"/>
      <c r="J21" s="299" t="s">
        <v>6</v>
      </c>
      <c r="K21" s="242" t="str">
        <f>IFERROR(IF(SUM(VLOOKUP(J21,$T2:$U10,2),VLOOKUP(J21,$T2:$U10,2))/2&gt;=$L$6*10,"Y","N"),0)</f>
        <v>Y</v>
      </c>
      <c r="L21" s="256"/>
      <c r="M21" s="306"/>
      <c r="R21" s="86"/>
    </row>
    <row r="22" spans="2:18" s="60" customFormat="1" ht="15" customHeight="1">
      <c r="B22" s="298">
        <v>7</v>
      </c>
      <c r="C22" s="464" t="str">
        <f>'Student Details'!D19</f>
        <v xml:space="preserve"> 16EE009</v>
      </c>
      <c r="D22" s="465"/>
      <c r="E22" s="464" t="str">
        <f>'Student Details'!E19</f>
        <v xml:space="preserve"> BHAVANA H M</v>
      </c>
      <c r="F22" s="465"/>
      <c r="G22" s="465"/>
      <c r="H22" s="465"/>
      <c r="I22" s="465"/>
      <c r="J22" s="299" t="s">
        <v>8</v>
      </c>
      <c r="K22" s="242" t="str">
        <f>IFERROR(IF(SUM(VLOOKUP(J22,$T2:$U10,2),VLOOKUP(J22,$T2:$U10,2))/2&gt;=$L$6*10,"Y","N"),0)</f>
        <v>Y</v>
      </c>
      <c r="L22" s="256"/>
      <c r="M22" s="306"/>
    </row>
    <row r="23" spans="2:18" s="60" customFormat="1" ht="15" customHeight="1">
      <c r="B23" s="298">
        <v>8</v>
      </c>
      <c r="C23" s="464" t="str">
        <f>'Student Details'!D20</f>
        <v xml:space="preserve"> 16EE010</v>
      </c>
      <c r="D23" s="465"/>
      <c r="E23" s="464" t="str">
        <f>'Student Details'!E20</f>
        <v xml:space="preserve"> BHIMANAIKA Y</v>
      </c>
      <c r="F23" s="465"/>
      <c r="G23" s="465"/>
      <c r="H23" s="465"/>
      <c r="I23" s="465"/>
      <c r="J23" s="299" t="s">
        <v>6</v>
      </c>
      <c r="K23" s="242" t="str">
        <f>IFERROR(IF(SUM(VLOOKUP(J23,$T2:$U10,2),VLOOKUP(J23,$T2:$U10,2))/2&gt;=$L$6*10,"Y","N"),0)</f>
        <v>Y</v>
      </c>
      <c r="L23" s="256"/>
      <c r="M23" s="306"/>
    </row>
    <row r="24" spans="2:18" s="60" customFormat="1" ht="15" customHeight="1">
      <c r="B24" s="298">
        <v>9</v>
      </c>
      <c r="C24" s="464" t="str">
        <f>'Student Details'!D21</f>
        <v xml:space="preserve"> 16EE011</v>
      </c>
      <c r="D24" s="465"/>
      <c r="E24" s="464" t="str">
        <f>'Student Details'!E21</f>
        <v xml:space="preserve"> BINDUSHREE T.A.</v>
      </c>
      <c r="F24" s="465"/>
      <c r="G24" s="465"/>
      <c r="H24" s="465"/>
      <c r="I24" s="465"/>
      <c r="J24" s="299" t="s">
        <v>7</v>
      </c>
      <c r="K24" s="242" t="str">
        <f>IFERROR(IF(SUM(VLOOKUP(J24,$T2:$U10,2),VLOOKUP(J24,$T2:$U10,2))/2&gt;=$L$6*10,"Y","N"),0)</f>
        <v>Y</v>
      </c>
      <c r="L24" s="256"/>
      <c r="M24" s="306"/>
    </row>
    <row r="25" spans="2:18" s="60" customFormat="1" ht="15" customHeight="1">
      <c r="B25" s="298">
        <v>10</v>
      </c>
      <c r="C25" s="464" t="str">
        <f>'Student Details'!D22</f>
        <v xml:space="preserve"> 16EE012</v>
      </c>
      <c r="D25" s="465"/>
      <c r="E25" s="464" t="str">
        <f>'Student Details'!E22</f>
        <v xml:space="preserve"> BRUNDA S</v>
      </c>
      <c r="F25" s="465"/>
      <c r="G25" s="465"/>
      <c r="H25" s="465"/>
      <c r="I25" s="465"/>
      <c r="J25" s="299" t="s">
        <v>231</v>
      </c>
      <c r="K25" s="242" t="str">
        <f>IFERROR(IF(SUM(VLOOKUP(J25,$T2:$U10,2),VLOOKUP(J25,$T2:$U10,2))/2&gt;=$L$6*10,"Y","N"),0)</f>
        <v>Y</v>
      </c>
      <c r="L25" s="256"/>
      <c r="M25" s="306"/>
      <c r="R25" s="86"/>
    </row>
    <row r="26" spans="2:18" s="60" customFormat="1" ht="15" customHeight="1">
      <c r="B26" s="298">
        <v>11</v>
      </c>
      <c r="C26" s="464" t="str">
        <f>'Student Details'!D23</f>
        <v xml:space="preserve"> 16EE013</v>
      </c>
      <c r="D26" s="465"/>
      <c r="E26" s="464" t="str">
        <f>'Student Details'!E23</f>
        <v xml:space="preserve"> CHAITHRA S</v>
      </c>
      <c r="F26" s="465"/>
      <c r="G26" s="465"/>
      <c r="H26" s="465"/>
      <c r="I26" s="465"/>
      <c r="J26" s="299" t="s">
        <v>7</v>
      </c>
      <c r="K26" s="242" t="str">
        <f>IFERROR(IF(SUM(VLOOKUP(J26,$T2:$U10,2),VLOOKUP(J26,$T2:$U10,2))/2&gt;=$L$6*10,"Y","N"),0)</f>
        <v>Y</v>
      </c>
      <c r="L26" s="256"/>
      <c r="M26" s="306"/>
      <c r="R26" s="86"/>
    </row>
    <row r="27" spans="2:18" s="60" customFormat="1" ht="15" customHeight="1">
      <c r="B27" s="298">
        <v>12</v>
      </c>
      <c r="C27" s="464" t="str">
        <f>'Student Details'!D24</f>
        <v xml:space="preserve"> 16EE014</v>
      </c>
      <c r="D27" s="465"/>
      <c r="E27" s="464" t="str">
        <f>'Student Details'!E24</f>
        <v xml:space="preserve"> CHETHAN M</v>
      </c>
      <c r="F27" s="465"/>
      <c r="G27" s="465"/>
      <c r="H27" s="465"/>
      <c r="I27" s="465"/>
      <c r="J27" s="299" t="s">
        <v>6</v>
      </c>
      <c r="K27" s="242" t="str">
        <f>IFERROR(IF(SUM(VLOOKUP(J27,$T2:$U10,2),VLOOKUP(J27,$T2:$U10,2))/2&gt;=$L$6*10,"Y","N"),0)</f>
        <v>Y</v>
      </c>
      <c r="L27" s="256"/>
      <c r="M27" s="306"/>
      <c r="R27" s="86"/>
    </row>
    <row r="28" spans="2:18" s="60" customFormat="1" ht="15" customHeight="1">
      <c r="B28" s="298">
        <v>13</v>
      </c>
      <c r="C28" s="464" t="str">
        <f>'Student Details'!D25</f>
        <v xml:space="preserve"> 16EE016</v>
      </c>
      <c r="D28" s="465"/>
      <c r="E28" s="464" t="str">
        <f>'Student Details'!E25</f>
        <v xml:space="preserve"> DEEKSHITH M S</v>
      </c>
      <c r="F28" s="465"/>
      <c r="G28" s="465"/>
      <c r="H28" s="465"/>
      <c r="I28" s="465"/>
      <c r="J28" s="299" t="s">
        <v>6</v>
      </c>
      <c r="K28" s="242" t="str">
        <f>IFERROR(IF(SUM(VLOOKUP(J28,$T2:$U10,2),VLOOKUP(J28,$T2:$U10,2))/2&gt;=$L$6*10,"Y","N"),0)</f>
        <v>Y</v>
      </c>
      <c r="L28" s="256"/>
      <c r="M28" s="306"/>
      <c r="R28" s="86"/>
    </row>
    <row r="29" spans="2:18" s="60" customFormat="1" ht="15" customHeight="1">
      <c r="B29" s="298">
        <v>14</v>
      </c>
      <c r="C29" s="464" t="str">
        <f>'Student Details'!D26</f>
        <v xml:space="preserve"> 16EE017</v>
      </c>
      <c r="D29" s="465"/>
      <c r="E29" s="464" t="str">
        <f>'Student Details'!E26</f>
        <v xml:space="preserve"> DEEPTI M HONGUTHI</v>
      </c>
      <c r="F29" s="465"/>
      <c r="G29" s="465"/>
      <c r="H29" s="465"/>
      <c r="I29" s="465"/>
      <c r="J29" s="299" t="s">
        <v>6</v>
      </c>
      <c r="K29" s="242" t="str">
        <f>IFERROR(IF(SUM(VLOOKUP(J29,$T2:$U10,2),VLOOKUP(J29,$T2:$U10,2))/2&gt;=$L$6*10,"Y","N"),0)</f>
        <v>Y</v>
      </c>
      <c r="L29" s="256"/>
      <c r="M29" s="306"/>
      <c r="R29" s="86"/>
    </row>
    <row r="30" spans="2:18" s="60" customFormat="1" ht="15" customHeight="1">
      <c r="B30" s="298">
        <v>15</v>
      </c>
      <c r="C30" s="464" t="str">
        <f>'Student Details'!D27</f>
        <v xml:space="preserve"> 16EE020</v>
      </c>
      <c r="D30" s="465"/>
      <c r="E30" s="464" t="str">
        <f>'Student Details'!E27</f>
        <v xml:space="preserve"> HARSHA</v>
      </c>
      <c r="F30" s="465"/>
      <c r="G30" s="465"/>
      <c r="H30" s="465"/>
      <c r="I30" s="465"/>
      <c r="J30" s="299" t="s">
        <v>7</v>
      </c>
      <c r="K30" s="242" t="str">
        <f>IFERROR(IF(SUM(VLOOKUP(J30,$T2:$U10,2),VLOOKUP(J30,$T2:$U10,2))/2&gt;=$L$6*10,"Y","N"),0)</f>
        <v>Y</v>
      </c>
      <c r="L30" s="256"/>
      <c r="M30" s="306"/>
      <c r="R30" s="86"/>
    </row>
    <row r="31" spans="2:18" s="60" customFormat="1" ht="15" customHeight="1">
      <c r="B31" s="298">
        <v>16</v>
      </c>
      <c r="C31" s="464" t="str">
        <f>'Student Details'!D28</f>
        <v xml:space="preserve"> 16EE021</v>
      </c>
      <c r="D31" s="465"/>
      <c r="E31" s="464" t="str">
        <f>'Student Details'!E28</f>
        <v xml:space="preserve"> JEEVITHA L R</v>
      </c>
      <c r="F31" s="465"/>
      <c r="G31" s="465"/>
      <c r="H31" s="465"/>
      <c r="I31" s="465"/>
      <c r="J31" s="299" t="s">
        <v>231</v>
      </c>
      <c r="K31" s="242" t="str">
        <f>IFERROR(IF(SUM(VLOOKUP(J31,$T2:$U10,2),VLOOKUP(J31,$T2:$U10,2))/2&gt;=$L$6*10,"Y","N"),0)</f>
        <v>Y</v>
      </c>
      <c r="L31" s="256"/>
      <c r="M31" s="306"/>
      <c r="R31" s="86"/>
    </row>
    <row r="32" spans="2:18" s="60" customFormat="1" ht="15" customHeight="1">
      <c r="B32" s="298">
        <v>17</v>
      </c>
      <c r="C32" s="464" t="str">
        <f>'Student Details'!D29</f>
        <v xml:space="preserve"> 16EE022</v>
      </c>
      <c r="D32" s="465"/>
      <c r="E32" s="464" t="str">
        <f>'Student Details'!E29</f>
        <v xml:space="preserve"> JULEKHA B</v>
      </c>
      <c r="F32" s="465"/>
      <c r="G32" s="465"/>
      <c r="H32" s="465"/>
      <c r="I32" s="465"/>
      <c r="J32" s="299" t="s">
        <v>5</v>
      </c>
      <c r="K32" s="242" t="str">
        <f>IFERROR(IF(SUM(VLOOKUP(J32,$T2:$U10,2),VLOOKUP(J32,$T2:$U10,2))/2&gt;=$L$6*10,"Y","N"),0)</f>
        <v>Y</v>
      </c>
      <c r="L32" s="256"/>
      <c r="M32" s="306"/>
      <c r="R32" s="86"/>
    </row>
    <row r="33" spans="2:18" s="60" customFormat="1" ht="15" customHeight="1">
      <c r="B33" s="298">
        <v>18</v>
      </c>
      <c r="C33" s="464" t="str">
        <f>'Student Details'!D30</f>
        <v>16EE023</v>
      </c>
      <c r="D33" s="465"/>
      <c r="E33" s="464" t="str">
        <f>'Student Details'!E30</f>
        <v>JYOTHI S N</v>
      </c>
      <c r="F33" s="465"/>
      <c r="G33" s="465"/>
      <c r="H33" s="465"/>
      <c r="I33" s="465"/>
      <c r="J33" s="299" t="s">
        <v>7</v>
      </c>
      <c r="K33" s="242" t="str">
        <f>IFERROR(IF(SUM(VLOOKUP(J33,$T2:$U10,2),VLOOKUP(J33,$T2:$U10,2))/2&gt;=$L$6*10,"Y","N"),0)</f>
        <v>Y</v>
      </c>
      <c r="L33" s="256"/>
      <c r="M33" s="306"/>
      <c r="R33" s="86"/>
    </row>
    <row r="34" spans="2:18" s="60" customFormat="1" ht="15" customHeight="1">
      <c r="B34" s="298">
        <v>19</v>
      </c>
      <c r="C34" s="464" t="str">
        <f>'Student Details'!D31</f>
        <v xml:space="preserve"> 16EE025</v>
      </c>
      <c r="D34" s="465"/>
      <c r="E34" s="464" t="str">
        <f>'Student Details'!E31</f>
        <v xml:space="preserve"> KAVANA S</v>
      </c>
      <c r="F34" s="465"/>
      <c r="G34" s="465"/>
      <c r="H34" s="465"/>
      <c r="I34" s="465"/>
      <c r="J34" s="299" t="s">
        <v>6</v>
      </c>
      <c r="K34" s="242" t="str">
        <f>IFERROR(IF(SUM(VLOOKUP(J34,$T2:$U10,2),VLOOKUP(J34,$T2:$U10,2))/2&gt;=$L$6*10,"Y","N"),0)</f>
        <v>Y</v>
      </c>
      <c r="L34" s="256"/>
      <c r="M34" s="306"/>
      <c r="R34" s="86"/>
    </row>
    <row r="35" spans="2:18" s="60" customFormat="1" ht="15" customHeight="1">
      <c r="B35" s="298">
        <v>20</v>
      </c>
      <c r="C35" s="464" t="str">
        <f>'Student Details'!D32</f>
        <v xml:space="preserve"> 16EE027</v>
      </c>
      <c r="D35" s="465"/>
      <c r="E35" s="464" t="str">
        <f>'Student Details'!E32</f>
        <v xml:space="preserve"> KUMAR RAGHAVENDRA G.B.</v>
      </c>
      <c r="F35" s="465"/>
      <c r="G35" s="465"/>
      <c r="H35" s="465"/>
      <c r="I35" s="465"/>
      <c r="J35" s="299" t="s">
        <v>230</v>
      </c>
      <c r="K35" s="242" t="str">
        <f>IFERROR(IF(SUM(VLOOKUP(J35,$T2:$U10,2),VLOOKUP(J35,$T2:$U10,2))/2&gt;=$L$6*10,"Y","N"),0)</f>
        <v>Y</v>
      </c>
      <c r="L35" s="256"/>
      <c r="M35" s="306"/>
      <c r="R35" s="86"/>
    </row>
    <row r="36" spans="2:18" s="60" customFormat="1" ht="15" customHeight="1">
      <c r="B36" s="298">
        <v>21</v>
      </c>
      <c r="C36" s="464" t="str">
        <f>'Student Details'!D33</f>
        <v xml:space="preserve"> 16EE028</v>
      </c>
      <c r="D36" s="465"/>
      <c r="E36" s="464" t="str">
        <f>'Student Details'!E33</f>
        <v xml:space="preserve"> LAKSHMI R</v>
      </c>
      <c r="F36" s="465"/>
      <c r="G36" s="465"/>
      <c r="H36" s="465"/>
      <c r="I36" s="465"/>
      <c r="J36" s="299" t="s">
        <v>5</v>
      </c>
      <c r="K36" s="242" t="str">
        <f>IFERROR(IF(SUM(VLOOKUP(J36,$T2:$U10,2),VLOOKUP(J36,$T2:$U10,2))/2&gt;=$L$6*10,"Y","N"),0)</f>
        <v>Y</v>
      </c>
      <c r="L36" s="256"/>
      <c r="M36" s="306"/>
      <c r="R36" s="86"/>
    </row>
    <row r="37" spans="2:18" s="60" customFormat="1" ht="15" customHeight="1">
      <c r="B37" s="298">
        <v>22</v>
      </c>
      <c r="C37" s="464" t="str">
        <f>'Student Details'!D34</f>
        <v xml:space="preserve"> 16EE031</v>
      </c>
      <c r="D37" s="465"/>
      <c r="E37" s="464" t="str">
        <f>'Student Details'!E34</f>
        <v xml:space="preserve"> MANOJ T</v>
      </c>
      <c r="F37" s="465"/>
      <c r="G37" s="465"/>
      <c r="H37" s="465"/>
      <c r="I37" s="465"/>
      <c r="J37" s="299" t="s">
        <v>231</v>
      </c>
      <c r="K37" s="242" t="str">
        <f>IFERROR(IF(SUM(VLOOKUP(J37,$T2:$U10,2),VLOOKUP(J37,$T2:$U10,2))/2&gt;=$L$6*10,"Y","N"),0)</f>
        <v>Y</v>
      </c>
      <c r="L37" s="256"/>
      <c r="M37" s="306"/>
      <c r="R37" s="86"/>
    </row>
    <row r="38" spans="2:18" s="60" customFormat="1" ht="15" customHeight="1">
      <c r="B38" s="298">
        <v>23</v>
      </c>
      <c r="C38" s="464" t="str">
        <f>'Student Details'!D35</f>
        <v xml:space="preserve"> 16EE032</v>
      </c>
      <c r="D38" s="465"/>
      <c r="E38" s="464" t="str">
        <f>'Student Details'!E35</f>
        <v xml:space="preserve"> MD SARJIL ANSARI</v>
      </c>
      <c r="F38" s="465"/>
      <c r="G38" s="465"/>
      <c r="H38" s="465"/>
      <c r="I38" s="465"/>
      <c r="J38" s="299" t="s">
        <v>231</v>
      </c>
      <c r="K38" s="242" t="str">
        <f>IFERROR(IF(SUM(VLOOKUP(J38,$T2:$U10,2),VLOOKUP(J38,$T2:$U10,2))/2&gt;=$L$6*10,"Y","N"),0)</f>
        <v>Y</v>
      </c>
      <c r="L38" s="256"/>
      <c r="M38" s="306"/>
      <c r="R38" s="86"/>
    </row>
    <row r="39" spans="2:18" s="60" customFormat="1" ht="15" customHeight="1">
      <c r="B39" s="298">
        <v>24</v>
      </c>
      <c r="C39" s="464" t="str">
        <f>'Student Details'!D36</f>
        <v xml:space="preserve"> 16EE034</v>
      </c>
      <c r="D39" s="465"/>
      <c r="E39" s="464" t="str">
        <f>'Student Details'!E36</f>
        <v xml:space="preserve"> MITHILA A R THOTADA</v>
      </c>
      <c r="F39" s="465"/>
      <c r="G39" s="465"/>
      <c r="H39" s="465"/>
      <c r="I39" s="465"/>
      <c r="J39" s="299" t="s">
        <v>7</v>
      </c>
      <c r="K39" s="242" t="str">
        <f>IFERROR(IF(SUM(VLOOKUP(J39,$T2:$U10,2),VLOOKUP(J39,$T2:$U10,2))/2&gt;=$L$6*10,"Y","N"),0)</f>
        <v>Y</v>
      </c>
      <c r="L39" s="256"/>
      <c r="M39" s="306"/>
      <c r="R39" s="86"/>
    </row>
    <row r="40" spans="2:18" s="60" customFormat="1" ht="15" customHeight="1">
      <c r="B40" s="298">
        <v>25</v>
      </c>
      <c r="C40" s="464" t="str">
        <f>'Student Details'!D37</f>
        <v xml:space="preserve"> 16EE035</v>
      </c>
      <c r="D40" s="465"/>
      <c r="E40" s="464" t="str">
        <f>'Student Details'!E37</f>
        <v xml:space="preserve"> MOUNA K.M</v>
      </c>
      <c r="F40" s="465"/>
      <c r="G40" s="465"/>
      <c r="H40" s="465"/>
      <c r="I40" s="465"/>
      <c r="J40" s="299" t="s">
        <v>5</v>
      </c>
      <c r="K40" s="242" t="str">
        <f>IFERROR(IF(SUM(VLOOKUP(J40,$T2:$U10,2),VLOOKUP(J40,$T2:$U10,2))/2&gt;=$L$6*10,"Y","N"),0)</f>
        <v>Y</v>
      </c>
      <c r="L40" s="256"/>
      <c r="M40" s="306"/>
      <c r="R40" s="86"/>
    </row>
    <row r="41" spans="2:18" s="60" customFormat="1" ht="15" customHeight="1">
      <c r="B41" s="298">
        <v>26</v>
      </c>
      <c r="C41" s="464" t="str">
        <f>'Student Details'!D38</f>
        <v xml:space="preserve"> 16EE036</v>
      </c>
      <c r="D41" s="465"/>
      <c r="E41" s="464" t="str">
        <f>'Student Details'!E38</f>
        <v xml:space="preserve"> NARASIMHANAYAKA D</v>
      </c>
      <c r="F41" s="465"/>
      <c r="G41" s="465"/>
      <c r="H41" s="465"/>
      <c r="I41" s="465"/>
      <c r="J41" s="299" t="s">
        <v>231</v>
      </c>
      <c r="K41" s="242" t="str">
        <f>IFERROR(IF(SUM(VLOOKUP(J41,$T2:$U10,2),VLOOKUP(J41,$T2:$U10,2))/2&gt;=$L$6*10,"Y","N"),0)</f>
        <v>Y</v>
      </c>
      <c r="L41" s="256"/>
      <c r="M41" s="306"/>
      <c r="R41" s="86"/>
    </row>
    <row r="42" spans="2:18" s="60" customFormat="1" ht="15" customHeight="1">
      <c r="B42" s="298">
        <v>27</v>
      </c>
      <c r="C42" s="464" t="str">
        <f>'Student Details'!D39</f>
        <v xml:space="preserve"> 16EE037</v>
      </c>
      <c r="D42" s="465"/>
      <c r="E42" s="464" t="str">
        <f>'Student Details'!E39</f>
        <v xml:space="preserve"> NIKHIL H M</v>
      </c>
      <c r="F42" s="465"/>
      <c r="G42" s="465"/>
      <c r="H42" s="465"/>
      <c r="I42" s="465"/>
      <c r="J42" s="299" t="s">
        <v>5</v>
      </c>
      <c r="K42" s="242" t="str">
        <f>IFERROR(IF(SUM(VLOOKUP(J42,$T2:$U10,2),VLOOKUP(J42,$T2:$U10,2))/2&gt;=$L$6*10,"Y","N"),0)</f>
        <v>Y</v>
      </c>
      <c r="L42" s="256"/>
      <c r="M42" s="306"/>
      <c r="R42" s="86"/>
    </row>
    <row r="43" spans="2:18" s="60" customFormat="1" ht="15" customHeight="1">
      <c r="B43" s="298">
        <v>28</v>
      </c>
      <c r="C43" s="464" t="str">
        <f>'Student Details'!D40</f>
        <v xml:space="preserve"> 16EE038</v>
      </c>
      <c r="D43" s="465"/>
      <c r="E43" s="464" t="str">
        <f>'Student Details'!E40</f>
        <v xml:space="preserve"> NITHIN N GUJJAR</v>
      </c>
      <c r="F43" s="465"/>
      <c r="G43" s="465"/>
      <c r="H43" s="465"/>
      <c r="I43" s="465"/>
      <c r="J43" s="299" t="s">
        <v>7</v>
      </c>
      <c r="K43" s="242" t="str">
        <f>IFERROR(IF(SUM(VLOOKUP(J43,$T2:$U10,2),VLOOKUP(J43,$T2:$U10,2))/2&gt;=$L$6*10,"Y","N"),0)</f>
        <v>Y</v>
      </c>
      <c r="L43" s="256"/>
      <c r="M43" s="306"/>
      <c r="R43" s="86"/>
    </row>
    <row r="44" spans="2:18" s="60" customFormat="1" ht="15" customHeight="1">
      <c r="B44" s="298">
        <v>29</v>
      </c>
      <c r="C44" s="464" t="str">
        <f>'Student Details'!D41</f>
        <v xml:space="preserve"> 16EE039</v>
      </c>
      <c r="D44" s="465"/>
      <c r="E44" s="464" t="str">
        <f>'Student Details'!E41</f>
        <v xml:space="preserve"> NITHIN GOWDA B N</v>
      </c>
      <c r="F44" s="465"/>
      <c r="G44" s="465"/>
      <c r="H44" s="465"/>
      <c r="I44" s="465"/>
      <c r="J44" s="299" t="s">
        <v>7</v>
      </c>
      <c r="K44" s="242" t="str">
        <f>IFERROR(IF(SUM(VLOOKUP(J44,$T2:$U10,2),VLOOKUP(J44,$T2:$U10,2))/2&gt;=$L$6*10,"Y","N"),0)</f>
        <v>Y</v>
      </c>
      <c r="L44" s="256"/>
      <c r="M44" s="306"/>
      <c r="R44" s="86"/>
    </row>
    <row r="45" spans="2:18" s="60" customFormat="1" ht="15" customHeight="1">
      <c r="B45" s="298">
        <v>30</v>
      </c>
      <c r="C45" s="464" t="str">
        <f>'Student Details'!D42</f>
        <v xml:space="preserve"> 16EE042</v>
      </c>
      <c r="D45" s="465"/>
      <c r="E45" s="464" t="str">
        <f>'Student Details'!E42</f>
        <v xml:space="preserve"> RAKSHITHA T U</v>
      </c>
      <c r="F45" s="465"/>
      <c r="G45" s="465"/>
      <c r="H45" s="465"/>
      <c r="I45" s="465"/>
      <c r="J45" s="299" t="s">
        <v>5</v>
      </c>
      <c r="K45" s="242" t="str">
        <f>IFERROR(IF(SUM(VLOOKUP(J45,$T2:$U10,2),VLOOKUP(J45,$T2:$U10,2))/2&gt;=$L$6*10,"Y","N"),0)</f>
        <v>Y</v>
      </c>
      <c r="L45" s="256"/>
      <c r="M45" s="306"/>
      <c r="R45" s="86"/>
    </row>
    <row r="46" spans="2:18" s="60" customFormat="1" ht="15" customHeight="1">
      <c r="B46" s="298">
        <v>31</v>
      </c>
      <c r="C46" s="464" t="str">
        <f>'Student Details'!D43</f>
        <v xml:space="preserve"> 16EE043</v>
      </c>
      <c r="D46" s="465"/>
      <c r="E46" s="464" t="str">
        <f>'Student Details'!E43</f>
        <v xml:space="preserve"> RAMKUMAR K M</v>
      </c>
      <c r="F46" s="465"/>
      <c r="G46" s="465"/>
      <c r="H46" s="465"/>
      <c r="I46" s="465"/>
      <c r="J46" s="299" t="s">
        <v>7</v>
      </c>
      <c r="K46" s="242" t="str">
        <f>IFERROR(IF(SUM(VLOOKUP(J46,$T2:$U10,2),VLOOKUP(J46,$T2:$U10,2))/2&gt;=$L$6*10,"Y","N"),0)</f>
        <v>Y</v>
      </c>
      <c r="L46" s="256"/>
      <c r="M46" s="306"/>
      <c r="R46" s="86"/>
    </row>
    <row r="47" spans="2:18" s="60" customFormat="1" ht="15" customHeight="1">
      <c r="B47" s="298">
        <v>32</v>
      </c>
      <c r="C47" s="464" t="str">
        <f>'Student Details'!D44</f>
        <v xml:space="preserve"> 16EE045</v>
      </c>
      <c r="D47" s="465"/>
      <c r="E47" s="464" t="str">
        <f>'Student Details'!E44</f>
        <v xml:space="preserve"> RENUKA K</v>
      </c>
      <c r="F47" s="465"/>
      <c r="G47" s="465"/>
      <c r="H47" s="465"/>
      <c r="I47" s="465"/>
      <c r="J47" s="299" t="s">
        <v>231</v>
      </c>
      <c r="K47" s="242" t="str">
        <f>IFERROR(IF(SUM(VLOOKUP(J47,$T2:$U10,2),VLOOKUP(J47,$T2:$U10,2))/2&gt;=$L$6*10,"Y","N"),0)</f>
        <v>Y</v>
      </c>
      <c r="L47" s="256"/>
      <c r="M47" s="306"/>
      <c r="R47" s="86"/>
    </row>
    <row r="48" spans="2:18" s="60" customFormat="1" ht="15" customHeight="1">
      <c r="B48" s="298">
        <v>33</v>
      </c>
      <c r="C48" s="464" t="str">
        <f>'Student Details'!D45</f>
        <v xml:space="preserve"> 16EE046</v>
      </c>
      <c r="D48" s="465"/>
      <c r="E48" s="464" t="str">
        <f>'Student Details'!E45</f>
        <v xml:space="preserve"> RESHMA</v>
      </c>
      <c r="F48" s="465"/>
      <c r="G48" s="465"/>
      <c r="H48" s="465"/>
      <c r="I48" s="465"/>
      <c r="J48" s="299" t="s">
        <v>5</v>
      </c>
      <c r="K48" s="242" t="str">
        <f>IFERROR(IF(SUM(VLOOKUP(J48,$T2:$U10,2),VLOOKUP(J48,$T2:$U10,2))/2&gt;=$L$6*10,"Y","N"),0)</f>
        <v>Y</v>
      </c>
      <c r="L48" s="256"/>
      <c r="M48" s="306"/>
      <c r="R48" s="86"/>
    </row>
    <row r="49" spans="2:18" s="60" customFormat="1" ht="15" customHeight="1">
      <c r="B49" s="298">
        <v>34</v>
      </c>
      <c r="C49" s="464" t="str">
        <f>'Student Details'!D46</f>
        <v xml:space="preserve"> 16EE047</v>
      </c>
      <c r="D49" s="465"/>
      <c r="E49" s="464" t="str">
        <f>'Student Details'!E46</f>
        <v xml:space="preserve"> SAHINABEGAUM NADAF</v>
      </c>
      <c r="F49" s="465"/>
      <c r="G49" s="465"/>
      <c r="H49" s="465"/>
      <c r="I49" s="465"/>
      <c r="J49" s="299" t="s">
        <v>6</v>
      </c>
      <c r="K49" s="242" t="str">
        <f>IFERROR(IF(SUM(VLOOKUP(J49,$T2:$U10,2),VLOOKUP(J49,$T2:$U10,2))/2&gt;=$L$6*10,"Y","N"),0)</f>
        <v>Y</v>
      </c>
      <c r="L49" s="256"/>
      <c r="M49" s="306"/>
      <c r="R49" s="86"/>
    </row>
    <row r="50" spans="2:18" s="60" customFormat="1" ht="15" customHeight="1">
      <c r="B50" s="298">
        <v>35</v>
      </c>
      <c r="C50" s="464" t="str">
        <f>'Student Details'!D47</f>
        <v xml:space="preserve"> 16EE048</v>
      </c>
      <c r="D50" s="465"/>
      <c r="E50" s="464" t="str">
        <f>'Student Details'!E47</f>
        <v xml:space="preserve"> SANDEEP KUMAR MURMU</v>
      </c>
      <c r="F50" s="465"/>
      <c r="G50" s="465"/>
      <c r="H50" s="465"/>
      <c r="I50" s="465"/>
      <c r="J50" s="299" t="s">
        <v>231</v>
      </c>
      <c r="K50" s="242" t="str">
        <f>IFERROR(IF(SUM(VLOOKUP(J50,$T2:$U10,2),VLOOKUP(J50,$T2:$U10,2))/2&gt;=$L$6*10,"Y","N"),0)</f>
        <v>Y</v>
      </c>
      <c r="L50" s="256"/>
      <c r="M50" s="306"/>
      <c r="R50" s="86"/>
    </row>
    <row r="51" spans="2:18" s="60" customFormat="1" ht="15" customHeight="1">
      <c r="B51" s="298">
        <v>36</v>
      </c>
      <c r="C51" s="464" t="str">
        <f>'Student Details'!D48</f>
        <v xml:space="preserve"> 16EE049</v>
      </c>
      <c r="D51" s="465"/>
      <c r="E51" s="464" t="str">
        <f>'Student Details'!E48</f>
        <v xml:space="preserve"> SHARIKA</v>
      </c>
      <c r="F51" s="465"/>
      <c r="G51" s="465"/>
      <c r="H51" s="465"/>
      <c r="I51" s="465"/>
      <c r="J51" s="299" t="s">
        <v>5</v>
      </c>
      <c r="K51" s="242" t="str">
        <f>IFERROR(IF(SUM(VLOOKUP(J51,$T2:$U10,2),VLOOKUP(J51,$T2:$U10,2))/2&gt;=$L$6*10,"Y","N"),0)</f>
        <v>Y</v>
      </c>
      <c r="L51" s="256"/>
      <c r="M51" s="306"/>
      <c r="R51" s="86"/>
    </row>
    <row r="52" spans="2:18" s="60" customFormat="1" ht="15" customHeight="1">
      <c r="B52" s="298">
        <v>37</v>
      </c>
      <c r="C52" s="464" t="str">
        <f>'Student Details'!D49</f>
        <v xml:space="preserve"> 16EE050</v>
      </c>
      <c r="D52" s="465"/>
      <c r="E52" s="464" t="str">
        <f>'Student Details'!E49</f>
        <v xml:space="preserve"> SHWETHA R JAGADALE</v>
      </c>
      <c r="F52" s="465"/>
      <c r="G52" s="465"/>
      <c r="H52" s="465"/>
      <c r="I52" s="465"/>
      <c r="J52" s="299" t="s">
        <v>5</v>
      </c>
      <c r="K52" s="242" t="str">
        <f>IFERROR(IF(SUM(VLOOKUP(J52,$T2:$U10,2),VLOOKUP(J52,$T2:$U10,2))/2&gt;=$L$6*10,"Y","N"),0)</f>
        <v>Y</v>
      </c>
      <c r="L52" s="256"/>
      <c r="M52" s="306"/>
      <c r="R52" s="86"/>
    </row>
    <row r="53" spans="2:18" s="60" customFormat="1" ht="15" customHeight="1">
      <c r="B53" s="298">
        <v>38</v>
      </c>
      <c r="C53" s="464" t="str">
        <f>'Student Details'!D50</f>
        <v xml:space="preserve"> 16EE051</v>
      </c>
      <c r="D53" s="465"/>
      <c r="E53" s="464" t="str">
        <f>'Student Details'!E50</f>
        <v xml:space="preserve"> SUCHITRA</v>
      </c>
      <c r="F53" s="465"/>
      <c r="G53" s="465"/>
      <c r="H53" s="465"/>
      <c r="I53" s="465"/>
      <c r="J53" s="299" t="s">
        <v>6</v>
      </c>
      <c r="K53" s="242" t="str">
        <f>IFERROR(IF(SUM(VLOOKUP(J53,$T2:$U10,2),VLOOKUP(J53,$T2:$U10,2))/2&gt;=$L$6*10,"Y","N"),0)</f>
        <v>Y</v>
      </c>
      <c r="L53" s="256"/>
      <c r="M53" s="306"/>
      <c r="R53" s="86"/>
    </row>
    <row r="54" spans="2:18" s="60" customFormat="1" ht="15" customHeight="1">
      <c r="B54" s="298">
        <v>39</v>
      </c>
      <c r="C54" s="464" t="str">
        <f>'Student Details'!D51</f>
        <v xml:space="preserve"> 16EE052</v>
      </c>
      <c r="D54" s="465"/>
      <c r="E54" s="464" t="str">
        <f>'Student Details'!E51</f>
        <v xml:space="preserve"> SWATHI RAMESH R</v>
      </c>
      <c r="F54" s="465"/>
      <c r="G54" s="465"/>
      <c r="H54" s="465"/>
      <c r="I54" s="465"/>
      <c r="J54" s="299" t="s">
        <v>9</v>
      </c>
      <c r="K54" s="242" t="str">
        <f>IFERROR(IF(SUM(VLOOKUP(J54,$T2:$U10,2),VLOOKUP(J54,$T2:$U10,2))/2&gt;=$L$6*10,"Y","N"),0)</f>
        <v>Y</v>
      </c>
      <c r="L54" s="256"/>
      <c r="M54" s="306"/>
      <c r="R54" s="86"/>
    </row>
    <row r="55" spans="2:18" s="60" customFormat="1" ht="15" customHeight="1">
      <c r="B55" s="298">
        <v>40</v>
      </c>
      <c r="C55" s="464" t="str">
        <f>'Student Details'!D52</f>
        <v xml:space="preserve"> 16EE053</v>
      </c>
      <c r="D55" s="465"/>
      <c r="E55" s="464" t="str">
        <f>'Student Details'!E52</f>
        <v xml:space="preserve"> TABREZ ALLAM</v>
      </c>
      <c r="F55" s="465"/>
      <c r="G55" s="465"/>
      <c r="H55" s="465"/>
      <c r="I55" s="465"/>
      <c r="J55" s="299" t="s">
        <v>7</v>
      </c>
      <c r="K55" s="242" t="str">
        <f>IFERROR(IF(SUM(VLOOKUP(J55,$T2:$U10,2),VLOOKUP(J55,$T2:$U10,2))/2&gt;=$L$6*10,"Y","N"),0)</f>
        <v>Y</v>
      </c>
      <c r="L55" s="256"/>
      <c r="M55" s="306"/>
      <c r="R55" s="86"/>
    </row>
    <row r="56" spans="2:18" s="60" customFormat="1" ht="15" customHeight="1">
      <c r="B56" s="298">
        <v>41</v>
      </c>
      <c r="C56" s="464" t="str">
        <f>'Student Details'!D53</f>
        <v xml:space="preserve"> 16EE054</v>
      </c>
      <c r="D56" s="465"/>
      <c r="E56" s="464" t="str">
        <f>'Student Details'!E53</f>
        <v xml:space="preserve"> VENKATESH H</v>
      </c>
      <c r="F56" s="465"/>
      <c r="G56" s="465"/>
      <c r="H56" s="465"/>
      <c r="I56" s="465"/>
      <c r="J56" s="299" t="s">
        <v>5</v>
      </c>
      <c r="K56" s="242" t="str">
        <f>IFERROR(IF(SUM(VLOOKUP(J56,$T2:$U10,2),VLOOKUP(J56,$T2:$U10,2))/2&gt;=$L$6*10,"Y","N"),0)</f>
        <v>Y</v>
      </c>
      <c r="L56" s="256"/>
      <c r="M56" s="306"/>
      <c r="R56" s="86"/>
    </row>
    <row r="57" spans="2:18" s="60" customFormat="1" ht="15" customHeight="1">
      <c r="B57" s="298">
        <v>42</v>
      </c>
      <c r="C57" s="464" t="str">
        <f>'Student Details'!D54</f>
        <v xml:space="preserve"> 16EE055</v>
      </c>
      <c r="D57" s="465"/>
      <c r="E57" s="464" t="str">
        <f>'Student Details'!E54</f>
        <v xml:space="preserve"> VIDYA I K</v>
      </c>
      <c r="F57" s="465"/>
      <c r="G57" s="465"/>
      <c r="H57" s="465"/>
      <c r="I57" s="465"/>
      <c r="J57" s="299" t="s">
        <v>8</v>
      </c>
      <c r="K57" s="242" t="str">
        <f>IFERROR(IF(SUM(VLOOKUP(J57,$T2:$U10,2),VLOOKUP(J57,$T2:$U10,2))/2&gt;=$L$6*10,"Y","N"),0)</f>
        <v>Y</v>
      </c>
      <c r="L57" s="256"/>
      <c r="M57" s="306"/>
      <c r="R57" s="86"/>
    </row>
    <row r="58" spans="2:18" s="60" customFormat="1" ht="15" customHeight="1">
      <c r="B58" s="298">
        <v>43</v>
      </c>
      <c r="C58" s="464" t="str">
        <f>'Student Details'!D55</f>
        <v xml:space="preserve"> 16EE056</v>
      </c>
      <c r="D58" s="465"/>
      <c r="E58" s="464" t="str">
        <f>'Student Details'!E55</f>
        <v xml:space="preserve"> YAMUNA S R</v>
      </c>
      <c r="F58" s="465"/>
      <c r="G58" s="465"/>
      <c r="H58" s="465"/>
      <c r="I58" s="465"/>
      <c r="J58" s="299" t="s">
        <v>230</v>
      </c>
      <c r="K58" s="242" t="str">
        <f>IFERROR(IF(SUM(VLOOKUP(J58,$T2:$U10,2),VLOOKUP(J58,$T2:$U10,2))/2&gt;=$L$6*10,"Y","N"),0)</f>
        <v>Y</v>
      </c>
      <c r="L58" s="256"/>
      <c r="M58" s="306"/>
      <c r="R58" s="86"/>
    </row>
    <row r="59" spans="2:18" s="60" customFormat="1" ht="15" customHeight="1">
      <c r="B59" s="298">
        <v>44</v>
      </c>
      <c r="C59" s="464" t="str">
        <f>'Student Details'!D56</f>
        <v xml:space="preserve"> 16EE061</v>
      </c>
      <c r="D59" s="465"/>
      <c r="E59" s="464" t="str">
        <f>'Student Details'!E56</f>
        <v xml:space="preserve"> NAYANA T A</v>
      </c>
      <c r="F59" s="465"/>
      <c r="G59" s="465"/>
      <c r="H59" s="465"/>
      <c r="I59" s="465"/>
      <c r="J59" s="299" t="s">
        <v>7</v>
      </c>
      <c r="K59" s="242" t="str">
        <f>IFERROR(IF(SUM(VLOOKUP(J59,$T2:$U10,2),VLOOKUP(J59,$T2:$U10,2))/2&gt;=$L$6*10,"Y","N"),0)</f>
        <v>Y</v>
      </c>
      <c r="L59" s="256"/>
      <c r="M59" s="306"/>
      <c r="R59" s="86"/>
    </row>
    <row r="60" spans="2:18" s="60" customFormat="1" ht="15" customHeight="1">
      <c r="B60" s="298">
        <v>45</v>
      </c>
      <c r="C60" s="464" t="str">
        <f>'Student Details'!D57</f>
        <v xml:space="preserve"> 16EE062</v>
      </c>
      <c r="D60" s="465"/>
      <c r="E60" s="464" t="str">
        <f>'Student Details'!E57</f>
        <v xml:space="preserve"> AISHWARIYA</v>
      </c>
      <c r="F60" s="465"/>
      <c r="G60" s="465"/>
      <c r="H60" s="465"/>
      <c r="I60" s="465"/>
      <c r="J60" s="299" t="s">
        <v>231</v>
      </c>
      <c r="K60" s="242" t="str">
        <f>IFERROR(IF(SUM(VLOOKUP(J60,$T2:$U10,2),VLOOKUP(J60,$T2:$U10,2))/2&gt;=$L$6*10,"Y","N"),0)</f>
        <v>Y</v>
      </c>
      <c r="L60" s="256"/>
      <c r="M60" s="306"/>
      <c r="R60" s="86"/>
    </row>
    <row r="61" spans="2:18" s="60" customFormat="1" ht="15" customHeight="1">
      <c r="B61" s="298">
        <v>46</v>
      </c>
      <c r="C61" s="464" t="str">
        <f>'Student Details'!D58</f>
        <v xml:space="preserve"> 16EE063</v>
      </c>
      <c r="D61" s="465"/>
      <c r="E61" s="464" t="str">
        <f>'Student Details'!E58</f>
        <v xml:space="preserve"> T N RANJEET</v>
      </c>
      <c r="F61" s="465"/>
      <c r="G61" s="465"/>
      <c r="H61" s="465"/>
      <c r="I61" s="465"/>
      <c r="J61" s="299" t="s">
        <v>6</v>
      </c>
      <c r="K61" s="242" t="str">
        <f>IFERROR(IF(SUM(VLOOKUP(J61,$T2:$U10,2),VLOOKUP(J61,$T2:$U10,2))/2&gt;=$L$6*10,"Y","N"),0)</f>
        <v>Y</v>
      </c>
      <c r="L61" s="256"/>
      <c r="M61" s="306"/>
      <c r="R61" s="86"/>
    </row>
    <row r="62" spans="2:18" s="60" customFormat="1" ht="15" customHeight="1">
      <c r="B62" s="298">
        <v>47</v>
      </c>
      <c r="C62" s="464" t="str">
        <f>'Student Details'!D59</f>
        <v xml:space="preserve"> 16EE064</v>
      </c>
      <c r="D62" s="465"/>
      <c r="E62" s="464" t="str">
        <f>'Student Details'!E59</f>
        <v xml:space="preserve"> VIDYASHRI S</v>
      </c>
      <c r="F62" s="465"/>
      <c r="G62" s="465"/>
      <c r="H62" s="465"/>
      <c r="I62" s="465"/>
      <c r="J62" s="299" t="s">
        <v>9</v>
      </c>
      <c r="K62" s="242" t="str">
        <f>IFERROR(IF(SUM(VLOOKUP(J62,$T2:$U10,2),VLOOKUP(J62,$T2:$U10,2))/2&gt;=$L$6*10,"Y","N"),0)</f>
        <v>Y</v>
      </c>
      <c r="L62" s="256"/>
      <c r="M62" s="306"/>
      <c r="R62" s="86"/>
    </row>
    <row r="63" spans="2:18" s="60" customFormat="1" ht="15" customHeight="1">
      <c r="B63" s="298">
        <v>48</v>
      </c>
      <c r="C63" s="464" t="str">
        <f>'Student Details'!D60</f>
        <v xml:space="preserve"> 16EE409</v>
      </c>
      <c r="D63" s="465"/>
      <c r="E63" s="464" t="str">
        <f>'Student Details'!E60</f>
        <v xml:space="preserve"> MANIKANTA HEGDE N</v>
      </c>
      <c r="F63" s="465"/>
      <c r="G63" s="465"/>
      <c r="H63" s="465"/>
      <c r="I63" s="465"/>
      <c r="J63" s="299" t="s">
        <v>9</v>
      </c>
      <c r="K63" s="242" t="str">
        <f>IFERROR(IF(SUM(VLOOKUP(J63,$T2:$U10,2),VLOOKUP(J63,$T2:$U10,2))/2&gt;=$L$6*10,"Y","N"),0)</f>
        <v>Y</v>
      </c>
      <c r="L63" s="256"/>
      <c r="M63" s="306"/>
      <c r="R63" s="86"/>
    </row>
    <row r="64" spans="2:18" s="60" customFormat="1" ht="15" customHeight="1">
      <c r="B64" s="298">
        <v>49</v>
      </c>
      <c r="C64" s="464" t="str">
        <f>'Student Details'!D61</f>
        <v xml:space="preserve"> 16EE410</v>
      </c>
      <c r="D64" s="465"/>
      <c r="E64" s="464" t="str">
        <f>'Student Details'!E61</f>
        <v xml:space="preserve"> PADMA PRASAD K.L</v>
      </c>
      <c r="F64" s="465"/>
      <c r="G64" s="465"/>
      <c r="H64" s="465"/>
      <c r="I64" s="465"/>
      <c r="J64" s="299" t="s">
        <v>10</v>
      </c>
      <c r="K64" s="242" t="str">
        <f>IFERROR(IF(SUM(VLOOKUP(J64,$T2:$U10,2),VLOOKUP(J64,$T2:$U10,2))/2&gt;=$L$6*10,"Y","N"),0)</f>
        <v>N</v>
      </c>
      <c r="L64" s="256"/>
      <c r="M64" s="306"/>
      <c r="R64" s="86"/>
    </row>
    <row r="65" spans="2:21" s="60" customFormat="1" ht="15" customHeight="1">
      <c r="B65" s="298">
        <v>50</v>
      </c>
      <c r="C65" s="464" t="str">
        <f>'Student Details'!D62</f>
        <v xml:space="preserve"> 17EE400</v>
      </c>
      <c r="D65" s="465"/>
      <c r="E65" s="464" t="str">
        <f>'Student Details'!E62</f>
        <v xml:space="preserve"> AKASH M</v>
      </c>
      <c r="F65" s="465"/>
      <c r="G65" s="465"/>
      <c r="H65" s="465"/>
      <c r="I65" s="465"/>
      <c r="J65" s="299" t="s">
        <v>7</v>
      </c>
      <c r="K65" s="242" t="str">
        <f>IFERROR(IF(SUM(VLOOKUP(J65,$T2:$U10,2),VLOOKUP(J65,$T2:$U10,2))/2&gt;=$L$6*10,"Y","N"),0)</f>
        <v>Y</v>
      </c>
      <c r="L65" s="256"/>
      <c r="M65" s="306"/>
      <c r="R65" s="86"/>
    </row>
    <row r="66" spans="2:21" s="60" customFormat="1" ht="15" customHeight="1">
      <c r="B66" s="298">
        <v>51</v>
      </c>
      <c r="C66" s="464" t="str">
        <f>'Student Details'!D63</f>
        <v xml:space="preserve"> 17EE401</v>
      </c>
      <c r="D66" s="465"/>
      <c r="E66" s="464" t="str">
        <f>'Student Details'!E63</f>
        <v xml:space="preserve"> AMITH MAHAGAVNKAR</v>
      </c>
      <c r="F66" s="465"/>
      <c r="G66" s="465"/>
      <c r="H66" s="465"/>
      <c r="I66" s="465"/>
      <c r="J66" s="299" t="s">
        <v>5</v>
      </c>
      <c r="K66" s="242" t="str">
        <f>IFERROR(IF(SUM(VLOOKUP(J66,$T2:$U10,2),VLOOKUP(J66,$T2:$U10,2))/2&gt;=$L$6*10,"Y","N"),0)</f>
        <v>Y</v>
      </c>
      <c r="L66" s="256"/>
      <c r="M66" s="306"/>
      <c r="R66" s="86"/>
    </row>
    <row r="67" spans="2:21" s="60" customFormat="1" ht="15" customHeight="1">
      <c r="B67" s="298">
        <v>52</v>
      </c>
      <c r="C67" s="464" t="str">
        <f>'Student Details'!D64</f>
        <v xml:space="preserve"> 17EE402</v>
      </c>
      <c r="D67" s="465"/>
      <c r="E67" s="464" t="str">
        <f>'Student Details'!E64</f>
        <v xml:space="preserve"> DEVIKARANI M C</v>
      </c>
      <c r="F67" s="465"/>
      <c r="G67" s="465"/>
      <c r="H67" s="465"/>
      <c r="I67" s="465"/>
      <c r="J67" s="299" t="s">
        <v>5</v>
      </c>
      <c r="K67" s="242" t="str">
        <f>IFERROR(IF(SUM(VLOOKUP(J67,$T2:$U10,2),VLOOKUP(J67,$T2:$U10,2))/2&gt;=$L$6*10,"Y","N"),0)</f>
        <v>Y</v>
      </c>
      <c r="L67" s="256"/>
      <c r="M67" s="306"/>
      <c r="R67" s="86"/>
    </row>
    <row r="68" spans="2:21" s="60" customFormat="1" ht="15" customHeight="1">
      <c r="B68" s="298">
        <v>53</v>
      </c>
      <c r="C68" s="464" t="str">
        <f>'Student Details'!D65</f>
        <v xml:space="preserve"> 17EE403</v>
      </c>
      <c r="D68" s="465"/>
      <c r="E68" s="464" t="str">
        <f>'Student Details'!E65</f>
        <v xml:space="preserve"> HAMSALEKHA V S</v>
      </c>
      <c r="F68" s="465"/>
      <c r="G68" s="465"/>
      <c r="H68" s="465"/>
      <c r="I68" s="465"/>
      <c r="J68" s="299" t="s">
        <v>7</v>
      </c>
      <c r="K68" s="242" t="str">
        <f>IFERROR(IF(SUM(VLOOKUP(J68,$T2:$U10,2),VLOOKUP(J68,$T2:$U10,2))/2&gt;=$L$6*10,"Y","N"),0)</f>
        <v>Y</v>
      </c>
      <c r="L68" s="256"/>
      <c r="M68" s="306"/>
      <c r="R68" s="86"/>
    </row>
    <row r="69" spans="2:21" s="60" customFormat="1" ht="15" customHeight="1">
      <c r="B69" s="298">
        <v>54</v>
      </c>
      <c r="C69" s="464" t="str">
        <f>'Student Details'!D66</f>
        <v xml:space="preserve"> 17EE404</v>
      </c>
      <c r="D69" s="465"/>
      <c r="E69" s="464" t="str">
        <f>'Student Details'!E66</f>
        <v xml:space="preserve"> HARISH S</v>
      </c>
      <c r="F69" s="465"/>
      <c r="G69" s="465"/>
      <c r="H69" s="465"/>
      <c r="I69" s="465"/>
      <c r="J69" s="299" t="s">
        <v>8</v>
      </c>
      <c r="K69" s="242" t="str">
        <f>IFERROR(IF(SUM(VLOOKUP(J69,$T2:$U10,2),VLOOKUP(J69,$T2:$U10,2))/2&gt;=$L$6*10,"Y","N"),0)</f>
        <v>Y</v>
      </c>
      <c r="L69" s="256"/>
      <c r="M69" s="306"/>
      <c r="R69" s="86"/>
    </row>
    <row r="70" spans="2:21" s="60" customFormat="1" ht="15" customHeight="1">
      <c r="B70" s="298">
        <v>55</v>
      </c>
      <c r="C70" s="464" t="str">
        <f>'Student Details'!D67</f>
        <v xml:space="preserve"> 17EE405</v>
      </c>
      <c r="D70" s="465"/>
      <c r="E70" s="464" t="str">
        <f>'Student Details'!E67</f>
        <v xml:space="preserve"> J ASIYA</v>
      </c>
      <c r="F70" s="465"/>
      <c r="G70" s="465"/>
      <c r="H70" s="465"/>
      <c r="I70" s="465"/>
      <c r="J70" s="299" t="s">
        <v>231</v>
      </c>
      <c r="K70" s="242" t="str">
        <f>IFERROR(IF(SUM(VLOOKUP(J70,$T2:$U10,2),VLOOKUP(J70,$T2:$U10,2))/2&gt;=$L$6*10,"Y","N"),0)</f>
        <v>Y</v>
      </c>
      <c r="L70" s="256"/>
      <c r="M70" s="306"/>
      <c r="R70" s="86"/>
    </row>
    <row r="71" spans="2:21" s="60" customFormat="1" ht="15" customHeight="1">
      <c r="B71" s="298">
        <v>56</v>
      </c>
      <c r="C71" s="471" t="str">
        <f>'Student Details'!D68</f>
        <v xml:space="preserve"> 17EE406</v>
      </c>
      <c r="D71" s="465"/>
      <c r="E71" s="471" t="str">
        <f>'Student Details'!E68</f>
        <v xml:space="preserve"> MANJUNATHA K</v>
      </c>
      <c r="F71" s="465"/>
      <c r="G71" s="465"/>
      <c r="H71" s="465"/>
      <c r="I71" s="465"/>
      <c r="J71" s="299" t="s">
        <v>6</v>
      </c>
      <c r="K71" s="299" t="str">
        <f>IFERROR(IF(SUM(VLOOKUP(J71,$T2:$U10,2),VLOOKUP(J71,$T2:$U10,2))/2&gt;=$L$6*10,"Y","N"),0)</f>
        <v>Y</v>
      </c>
      <c r="L71" s="256"/>
      <c r="M71" s="306"/>
      <c r="R71" s="86"/>
    </row>
    <row r="72" spans="2:21" s="60" customFormat="1" ht="15" customHeight="1">
      <c r="B72" s="298">
        <v>57</v>
      </c>
      <c r="C72" s="471" t="str">
        <f>'Student Details'!D69</f>
        <v xml:space="preserve"> 17EE408</v>
      </c>
      <c r="D72" s="465"/>
      <c r="E72" s="471" t="str">
        <f>'Student Details'!E69</f>
        <v xml:space="preserve"> RAVINDRA</v>
      </c>
      <c r="F72" s="465"/>
      <c r="G72" s="465"/>
      <c r="H72" s="465"/>
      <c r="I72" s="465"/>
      <c r="J72" s="299" t="s">
        <v>7</v>
      </c>
      <c r="K72" s="242" t="str">
        <f>IFERROR(IF(SUM(VLOOKUP(J72,$T2:$U10,2),VLOOKUP(J72,$T2:$U10,2))/2&gt;=$L$6*10,"Y","N"),0)</f>
        <v>Y</v>
      </c>
      <c r="L72" s="256"/>
      <c r="M72" s="306"/>
      <c r="R72" s="86"/>
    </row>
    <row r="73" spans="2:21" s="60" customFormat="1" ht="15" customHeight="1">
      <c r="B73" s="298">
        <v>58</v>
      </c>
      <c r="C73" s="471" t="str">
        <f>'Student Details'!D70</f>
        <v xml:space="preserve"> 17EE409</v>
      </c>
      <c r="D73" s="465"/>
      <c r="E73" s="471" t="str">
        <f>'Student Details'!E70</f>
        <v xml:space="preserve"> SAMARTHA NAVALE</v>
      </c>
      <c r="F73" s="465"/>
      <c r="G73" s="465"/>
      <c r="H73" s="465"/>
      <c r="I73" s="465"/>
      <c r="J73" s="299" t="s">
        <v>6</v>
      </c>
      <c r="K73" s="242" t="str">
        <f>IFERROR(IF(SUM(VLOOKUP(J73,$T2:$U10,2),VLOOKUP(J73,$T2:$U10,2))/2&gt;=$L$6*10,"Y","N"),0)</f>
        <v>Y</v>
      </c>
      <c r="L73" s="256"/>
      <c r="M73" s="306"/>
      <c r="R73" s="86"/>
    </row>
    <row r="74" spans="2:21" s="60" customFormat="1" ht="15" customHeight="1">
      <c r="B74" s="298">
        <v>59</v>
      </c>
      <c r="C74" s="471" t="str">
        <f>'Student Details'!D71</f>
        <v xml:space="preserve"> 17EE410</v>
      </c>
      <c r="D74" s="465"/>
      <c r="E74" s="471" t="str">
        <f>'Student Details'!E71</f>
        <v xml:space="preserve"> SNEHA MATHAPATI</v>
      </c>
      <c r="F74" s="465"/>
      <c r="G74" s="465"/>
      <c r="H74" s="465"/>
      <c r="I74" s="465"/>
      <c r="J74" s="299" t="s">
        <v>5</v>
      </c>
      <c r="K74" s="257" t="str">
        <f>IFERROR(IF(SUM(VLOOKUP(J74,$T2:$U10,2),VLOOKUP(J74,$T2:$U10,2))/2&gt;=$L$6*10,"Y","N"),0)</f>
        <v>Y</v>
      </c>
      <c r="L74" s="256"/>
      <c r="M74" s="306"/>
      <c r="R74" s="86"/>
    </row>
    <row r="75" spans="2:21" s="60" customFormat="1" ht="15" customHeight="1">
      <c r="B75" s="298">
        <v>60</v>
      </c>
      <c r="C75" s="471" t="str">
        <f>'Student Details'!D72</f>
        <v xml:space="preserve"> 17EE411</v>
      </c>
      <c r="D75" s="465"/>
      <c r="E75" s="471" t="str">
        <f>'Student Details'!E72</f>
        <v xml:space="preserve"> SUHAS T A</v>
      </c>
      <c r="F75" s="465"/>
      <c r="G75" s="465"/>
      <c r="H75" s="465"/>
      <c r="I75" s="465"/>
      <c r="J75" s="299" t="s">
        <v>8</v>
      </c>
      <c r="K75" s="257" t="str">
        <f>IFERROR(IF(SUM(VLOOKUP(J75,$T2:$U10,2),VLOOKUP(J75,$T2:$U10,2))/2&gt;=$L$6*10,"Y","N"),0)</f>
        <v>Y</v>
      </c>
      <c r="L75" s="256"/>
      <c r="M75" s="306"/>
      <c r="R75" s="86"/>
    </row>
    <row r="76" spans="2:21" s="60" customFormat="1" ht="15" customHeight="1">
      <c r="B76" s="298">
        <v>61</v>
      </c>
      <c r="C76" s="471" t="str">
        <f>'Student Details'!D73</f>
        <v xml:space="preserve"> 17EE412</v>
      </c>
      <c r="D76" s="465"/>
      <c r="E76" s="471" t="str">
        <f>'Student Details'!E73</f>
        <v xml:space="preserve"> VARSHA</v>
      </c>
      <c r="F76" s="465"/>
      <c r="G76" s="465"/>
      <c r="H76" s="465"/>
      <c r="I76" s="465"/>
      <c r="J76" s="299" t="s">
        <v>231</v>
      </c>
      <c r="K76" s="257" t="str">
        <f>IFERROR(IF(SUM(VLOOKUP(J76,$T2:$U10,2),VLOOKUP(J76,$T2:$U10,2))/2&gt;=$L$6*10,"Y","N"),0)</f>
        <v>Y</v>
      </c>
      <c r="L76" s="256"/>
      <c r="M76" s="306"/>
      <c r="R76" s="86"/>
    </row>
    <row r="77" spans="2:21" s="60" customFormat="1" ht="15" customHeight="1">
      <c r="B77" s="472">
        <v>62</v>
      </c>
      <c r="C77" s="465"/>
      <c r="D77" s="465"/>
      <c r="E77" s="465"/>
      <c r="F77" s="465"/>
      <c r="G77" s="465"/>
      <c r="H77" s="465"/>
      <c r="I77" s="465"/>
      <c r="J77" s="465"/>
      <c r="K77" s="465"/>
      <c r="L77" s="256"/>
      <c r="R77" s="86"/>
    </row>
    <row r="78" spans="2:21" s="60" customFormat="1" ht="20.100000000000001" customHeight="1">
      <c r="B78" s="432" t="s">
        <v>208</v>
      </c>
      <c r="C78" s="433"/>
      <c r="D78" s="433"/>
      <c r="E78" s="433"/>
      <c r="F78" s="433"/>
      <c r="G78" s="433"/>
      <c r="H78" s="433"/>
      <c r="I78" s="433"/>
      <c r="J78" s="433"/>
      <c r="K78" s="242">
        <f>IFERROR($B$76-(COUNTIF(K16:K76,"")),0)</f>
        <v>61</v>
      </c>
      <c r="L78" s="256"/>
      <c r="R78" s="86"/>
    </row>
    <row r="79" spans="2:21" s="60" customFormat="1" ht="20.100000000000001" customHeight="1">
      <c r="B79" s="432" t="str">
        <f>UPPER("Number of  of Students scoring above a target")</f>
        <v>NUMBER OF  OF STUDENTS SCORING ABOVE A TARGET</v>
      </c>
      <c r="C79" s="433"/>
      <c r="D79" s="433"/>
      <c r="E79" s="433"/>
      <c r="F79" s="433"/>
      <c r="G79" s="433"/>
      <c r="H79" s="433"/>
      <c r="I79" s="433"/>
      <c r="J79" s="433"/>
      <c r="K79" s="242">
        <f>IFERROR(COUNTIF(K16:K76,"Y"),0)</f>
        <v>59</v>
      </c>
      <c r="L79" s="256"/>
      <c r="R79" s="86"/>
    </row>
    <row r="80" spans="2:21" s="60" customFormat="1" ht="34.5" customHeight="1">
      <c r="B80" s="432" t="str">
        <f>UPPER("Percentage of Students scoring above a target")</f>
        <v>PERCENTAGE OF STUDENTS SCORING ABOVE A TARGET</v>
      </c>
      <c r="C80" s="433"/>
      <c r="D80" s="433"/>
      <c r="E80" s="433"/>
      <c r="F80" s="433"/>
      <c r="G80" s="433"/>
      <c r="H80" s="433"/>
      <c r="I80" s="433"/>
      <c r="J80" s="433"/>
      <c r="K80" s="257">
        <f>IFERROR(K79/$B$76,0)</f>
        <v>0.96721311475409832</v>
      </c>
      <c r="R80" s="86"/>
      <c r="T80" s="304"/>
      <c r="U80" s="304"/>
    </row>
    <row r="81" spans="2:29" s="60" customFormat="1" ht="20.100000000000001" customHeight="1">
      <c r="B81" s="432" t="str">
        <f>UPPER("Target")</f>
        <v>TARGET</v>
      </c>
      <c r="C81" s="433"/>
      <c r="D81" s="433"/>
      <c r="E81" s="433"/>
      <c r="F81" s="433"/>
      <c r="G81" s="433"/>
      <c r="H81" s="433"/>
      <c r="I81" s="433"/>
      <c r="J81" s="433"/>
      <c r="K81" s="257">
        <f>IFERROR(L6,0)</f>
        <v>0.4</v>
      </c>
      <c r="R81" s="86"/>
      <c r="T81" s="304"/>
      <c r="U81" s="304"/>
    </row>
    <row r="82" spans="2:29" s="60" customFormat="1" ht="20.100000000000001" customHeight="1">
      <c r="B82" s="432" t="str">
        <f>UPPER("Achievement (Y/N)")</f>
        <v>ACHIEVEMENT (Y/N)</v>
      </c>
      <c r="C82" s="433"/>
      <c r="D82" s="433"/>
      <c r="E82" s="433"/>
      <c r="F82" s="433"/>
      <c r="G82" s="433"/>
      <c r="H82" s="433"/>
      <c r="I82" s="433"/>
      <c r="J82" s="433"/>
      <c r="K82" s="257" t="str">
        <f>IFERROR(IF(K80&gt;=K81,"Y","N"),0)</f>
        <v>Y</v>
      </c>
      <c r="R82" s="86"/>
      <c r="T82" s="304"/>
      <c r="U82" s="304"/>
    </row>
    <row r="83" spans="2:29" s="60" customFormat="1" ht="34.5" customHeight="1">
      <c r="B83" s="287" t="str">
        <f>UPPER("Percentage of Students scoring above a target")</f>
        <v>PERCENTAGE OF STUDENTS SCORING ABOVE A TARGET</v>
      </c>
      <c r="C83" s="302"/>
      <c r="D83" s="302"/>
      <c r="E83" s="302"/>
      <c r="F83" s="302"/>
      <c r="G83" s="302"/>
      <c r="H83" s="302"/>
      <c r="I83" s="302"/>
      <c r="J83" s="302"/>
      <c r="K83" s="288">
        <f>IFERROR(K82/$B$79,0)</f>
        <v>0</v>
      </c>
      <c r="R83" s="86"/>
      <c r="T83" s="304"/>
      <c r="U83" s="304"/>
    </row>
    <row r="84" spans="2:29" s="60" customFormat="1" ht="20.100000000000001" customHeight="1">
      <c r="B84" s="294" t="str">
        <f>UPPER("Target")</f>
        <v>TARGET</v>
      </c>
      <c r="C84" s="295"/>
      <c r="D84" s="295"/>
      <c r="E84" s="295"/>
      <c r="F84" s="295"/>
      <c r="G84" s="295"/>
      <c r="H84" s="295"/>
      <c r="I84" s="295"/>
      <c r="J84" s="295"/>
      <c r="K84" s="257">
        <f>IFERROR(L6,0)</f>
        <v>0.4</v>
      </c>
      <c r="R84" s="86"/>
      <c r="T84" s="304"/>
      <c r="U84" s="304"/>
    </row>
    <row r="85" spans="2:29" s="60" customFormat="1" ht="20.100000000000001" customHeight="1">
      <c r="B85" s="294" t="str">
        <f>UPPER("Achievement (Y/N)")</f>
        <v>ACHIEVEMENT (Y/N)</v>
      </c>
      <c r="C85" s="295"/>
      <c r="D85" s="295"/>
      <c r="E85" s="295"/>
      <c r="F85" s="295"/>
      <c r="G85" s="295"/>
      <c r="H85" s="295"/>
      <c r="I85" s="295"/>
      <c r="J85" s="295"/>
      <c r="K85" s="257" t="str">
        <f>IFERROR(IF(K83&gt;=K84,"Y","N"),0)</f>
        <v>N</v>
      </c>
      <c r="R85" s="86"/>
      <c r="T85" s="304"/>
      <c r="U85" s="304"/>
    </row>
    <row r="86" spans="2:29" s="60" customFormat="1" ht="18.75" customHeight="1">
      <c r="B86" s="65"/>
      <c r="C86" s="85"/>
      <c r="D86" s="85"/>
      <c r="E86" s="85"/>
      <c r="F86" s="85"/>
      <c r="G86" s="85"/>
      <c r="H86" s="85"/>
      <c r="I86" s="85"/>
      <c r="J86" s="87"/>
      <c r="K86" s="87"/>
      <c r="R86" s="86"/>
      <c r="T86" s="304"/>
      <c r="U86" s="304"/>
    </row>
    <row r="87" spans="2:29" s="60" customFormat="1" ht="18.75" customHeight="1">
      <c r="B87" s="300"/>
      <c r="C87" s="304"/>
      <c r="D87" s="304"/>
      <c r="E87" s="304"/>
      <c r="F87" s="304"/>
      <c r="G87" s="304"/>
      <c r="H87" s="304"/>
      <c r="I87" s="304"/>
      <c r="J87" s="304"/>
      <c r="R87" s="86"/>
      <c r="T87" s="304"/>
      <c r="U87" s="304"/>
    </row>
    <row r="88" spans="2:29" s="60" customFormat="1" ht="18.75" customHeight="1">
      <c r="B88" s="300"/>
      <c r="C88" s="304"/>
      <c r="D88" s="304"/>
      <c r="E88" s="304"/>
      <c r="F88" s="304"/>
      <c r="G88" s="304"/>
      <c r="H88" s="304"/>
      <c r="I88" s="304"/>
      <c r="J88" s="304"/>
      <c r="R88" s="86"/>
      <c r="T88" s="304"/>
      <c r="U88" s="304"/>
    </row>
    <row r="89" spans="2:29" s="60" customFormat="1" ht="18.75" customHeight="1">
      <c r="B89" s="300"/>
      <c r="C89" s="304"/>
      <c r="D89" s="304"/>
      <c r="E89" s="304"/>
      <c r="F89" s="304"/>
      <c r="G89" s="304"/>
      <c r="H89" s="304"/>
      <c r="I89" s="304"/>
      <c r="J89" s="304"/>
      <c r="R89" s="86"/>
      <c r="T89" s="304"/>
      <c r="U89" s="304"/>
    </row>
    <row r="90" spans="2:29" s="60" customFormat="1" ht="18.75" customHeight="1">
      <c r="B90" s="300"/>
      <c r="C90" s="304"/>
      <c r="D90" s="304"/>
      <c r="E90" s="304"/>
      <c r="F90" s="304"/>
      <c r="G90" s="304"/>
      <c r="H90" s="304"/>
      <c r="I90" s="304"/>
      <c r="J90" s="304"/>
      <c r="R90" s="86"/>
      <c r="T90" s="304"/>
      <c r="U90" s="304"/>
    </row>
    <row r="91" spans="2:29" s="60" customFormat="1" ht="18.75" customHeight="1">
      <c r="B91" s="300"/>
      <c r="C91" s="304"/>
      <c r="D91" s="304"/>
      <c r="E91" s="304"/>
      <c r="F91" s="304"/>
      <c r="G91" s="304"/>
      <c r="H91" s="304"/>
      <c r="I91" s="304"/>
      <c r="J91" s="304"/>
      <c r="R91" s="86"/>
      <c r="T91" s="304"/>
      <c r="U91" s="304"/>
    </row>
    <row r="92" spans="2:29" s="60" customFormat="1" ht="18.75" customHeight="1">
      <c r="B92" s="65"/>
      <c r="C92" s="85"/>
      <c r="D92" s="85"/>
      <c r="E92" s="85"/>
      <c r="F92" s="85"/>
      <c r="G92" s="85"/>
      <c r="H92" s="85"/>
      <c r="I92" s="85"/>
      <c r="J92" s="87"/>
      <c r="K92" s="87"/>
      <c r="L92" s="85"/>
      <c r="M92" s="85"/>
      <c r="N92" s="85"/>
      <c r="R92" s="86"/>
      <c r="T92" s="304"/>
      <c r="U92" s="304"/>
    </row>
    <row r="93" spans="2:29" s="60" customFormat="1" ht="18.75" customHeight="1">
      <c r="B93" s="300"/>
      <c r="C93" s="304"/>
      <c r="D93" s="304"/>
      <c r="E93" s="304"/>
      <c r="F93" s="304"/>
      <c r="G93" s="304"/>
      <c r="H93" s="304"/>
      <c r="I93" s="304"/>
      <c r="J93" s="304"/>
      <c r="M93" s="61"/>
      <c r="N93" s="87"/>
      <c r="T93" s="304"/>
      <c r="U93" s="304"/>
    </row>
    <row r="94" spans="2:29" s="60" customFormat="1" ht="18.75" customHeight="1">
      <c r="B94" s="300"/>
      <c r="C94" s="304"/>
      <c r="D94" s="304"/>
      <c r="E94" s="304"/>
      <c r="F94" s="304"/>
      <c r="G94" s="304"/>
      <c r="H94" s="304"/>
      <c r="I94" s="304"/>
      <c r="J94" s="304"/>
      <c r="M94" s="61"/>
      <c r="N94" s="87"/>
      <c r="T94" s="304"/>
      <c r="U94" s="304"/>
    </row>
    <row r="95" spans="2:29" s="60" customFormat="1" ht="18.75" customHeight="1">
      <c r="B95" s="304"/>
      <c r="C95" s="304"/>
      <c r="D95" s="304"/>
      <c r="E95" s="304"/>
      <c r="F95" s="304"/>
      <c r="G95" s="304"/>
      <c r="H95" s="304"/>
      <c r="I95" s="304"/>
      <c r="J95" s="304"/>
      <c r="M95" s="61"/>
      <c r="N95" s="87"/>
      <c r="T95" s="304"/>
      <c r="U95" s="304"/>
    </row>
    <row r="96" spans="2:29" s="58" customFormat="1" ht="18.75" customHeight="1">
      <c r="B96" s="300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61"/>
      <c r="N96" s="87"/>
      <c r="O96" s="57"/>
      <c r="P96" s="57"/>
      <c r="Q96" s="57"/>
      <c r="R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</row>
    <row r="97" spans="2:29" s="58" customFormat="1" ht="18.75" customHeight="1"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60"/>
      <c r="O97" s="57"/>
      <c r="P97" s="57"/>
      <c r="Q97" s="57"/>
      <c r="R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</row>
    <row r="98" spans="2:29" s="59" customFormat="1" ht="18.75" customHeight="1"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60"/>
      <c r="T98" s="57"/>
      <c r="U98" s="57"/>
    </row>
    <row r="99" spans="2:29" s="59" customFormat="1" ht="18.75" customHeight="1">
      <c r="B99" s="304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60"/>
      <c r="T99" s="57"/>
      <c r="U99" s="57"/>
    </row>
    <row r="100" spans="2:29" s="59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60"/>
      <c r="T100" s="57"/>
      <c r="U100" s="57"/>
    </row>
    <row r="101" spans="2:29" s="59" customFormat="1" ht="18.75" customHeight="1">
      <c r="B101" s="55"/>
      <c r="C101" s="55"/>
      <c r="D101" s="55"/>
      <c r="E101" s="55"/>
      <c r="F101" s="55"/>
      <c r="G101" s="55"/>
      <c r="H101" s="55"/>
      <c r="I101" s="57"/>
      <c r="J101" s="57"/>
      <c r="K101" s="57"/>
      <c r="L101" s="58"/>
      <c r="M101" s="58"/>
      <c r="T101" s="57"/>
      <c r="U101" s="57"/>
    </row>
    <row r="102" spans="2:29" s="59" customFormat="1" ht="18.75" customHeight="1">
      <c r="B102" s="55"/>
      <c r="C102" s="55"/>
      <c r="D102" s="55"/>
      <c r="E102" s="55"/>
      <c r="F102" s="55"/>
      <c r="G102" s="55"/>
      <c r="H102" s="55"/>
      <c r="I102" s="57"/>
      <c r="J102" s="57"/>
      <c r="K102" s="57"/>
      <c r="L102" s="58"/>
      <c r="M102" s="58"/>
      <c r="T102" s="57"/>
      <c r="U102" s="57"/>
    </row>
    <row r="103" spans="2:29" s="59" customFormat="1" ht="18.75" customHeight="1">
      <c r="B103" s="55"/>
      <c r="C103" s="55"/>
      <c r="D103" s="55"/>
      <c r="E103" s="55"/>
      <c r="F103" s="55"/>
      <c r="G103" s="55"/>
      <c r="H103" s="55"/>
      <c r="I103" s="57"/>
      <c r="J103" s="57"/>
      <c r="K103" s="57"/>
      <c r="L103" s="58"/>
      <c r="M103" s="58"/>
      <c r="T103" s="57"/>
      <c r="U103" s="57"/>
    </row>
    <row r="104" spans="2:29" s="59" customFormat="1" ht="18.75" customHeight="1">
      <c r="J104" s="58"/>
      <c r="K104" s="58"/>
      <c r="L104" s="58"/>
      <c r="M104" s="58"/>
      <c r="T104" s="57"/>
      <c r="U104" s="57"/>
    </row>
    <row r="105" spans="2:29" s="59" customFormat="1" ht="18.75" customHeight="1">
      <c r="J105" s="58"/>
      <c r="K105" s="58"/>
      <c r="L105" s="58"/>
      <c r="M105" s="58"/>
      <c r="T105" s="57"/>
      <c r="U105" s="57"/>
    </row>
  </sheetData>
  <sortState ref="T2:U10">
    <sortCondition ref="T2:T10"/>
  </sortState>
  <mergeCells count="138">
    <mergeCell ref="C71:D71"/>
    <mergeCell ref="E71:I71"/>
    <mergeCell ref="B81:J81"/>
    <mergeCell ref="B82:J82"/>
    <mergeCell ref="C76:D76"/>
    <mergeCell ref="E76:I76"/>
    <mergeCell ref="B77:K77"/>
    <mergeCell ref="B78:J78"/>
    <mergeCell ref="B79:J79"/>
    <mergeCell ref="B80:J80"/>
    <mergeCell ref="C72:D72"/>
    <mergeCell ref="E72:I72"/>
    <mergeCell ref="C73:D73"/>
    <mergeCell ref="E73:I73"/>
    <mergeCell ref="C74:D74"/>
    <mergeCell ref="E74:I74"/>
    <mergeCell ref="C75:D75"/>
    <mergeCell ref="E75:I75"/>
    <mergeCell ref="C61:D61"/>
    <mergeCell ref="E61:I61"/>
    <mergeCell ref="C62:D62"/>
    <mergeCell ref="E62:I62"/>
    <mergeCell ref="C63:D63"/>
    <mergeCell ref="E63:I63"/>
    <mergeCell ref="C58:D58"/>
    <mergeCell ref="E58:I58"/>
    <mergeCell ref="C59:D59"/>
    <mergeCell ref="E59:I59"/>
    <mergeCell ref="C60:D60"/>
    <mergeCell ref="E60:I60"/>
    <mergeCell ref="C64:D64"/>
    <mergeCell ref="E64:I64"/>
    <mergeCell ref="C65:D65"/>
    <mergeCell ref="E65:I65"/>
    <mergeCell ref="C66:D66"/>
    <mergeCell ref="E66:I66"/>
    <mergeCell ref="C70:D70"/>
    <mergeCell ref="E70:I70"/>
    <mergeCell ref="C67:D67"/>
    <mergeCell ref="E67:I67"/>
    <mergeCell ref="C68:D68"/>
    <mergeCell ref="E68:I68"/>
    <mergeCell ref="C69:D69"/>
    <mergeCell ref="E69:I69"/>
    <mergeCell ref="C55:D55"/>
    <mergeCell ref="E55:I55"/>
    <mergeCell ref="C56:D56"/>
    <mergeCell ref="E56:I56"/>
    <mergeCell ref="C57:D57"/>
    <mergeCell ref="E57:I57"/>
    <mergeCell ref="C52:D52"/>
    <mergeCell ref="E52:I52"/>
    <mergeCell ref="C53:D53"/>
    <mergeCell ref="E53:I53"/>
    <mergeCell ref="C54:D54"/>
    <mergeCell ref="E54:I54"/>
    <mergeCell ref="C49:D49"/>
    <mergeCell ref="E49:I49"/>
    <mergeCell ref="C50:D50"/>
    <mergeCell ref="E50:I50"/>
    <mergeCell ref="C51:D51"/>
    <mergeCell ref="E51:I51"/>
    <mergeCell ref="C46:D46"/>
    <mergeCell ref="E46:I46"/>
    <mergeCell ref="C47:D47"/>
    <mergeCell ref="E47:I47"/>
    <mergeCell ref="C48:D48"/>
    <mergeCell ref="E48:I48"/>
    <mergeCell ref="C43:D43"/>
    <mergeCell ref="E43:I43"/>
    <mergeCell ref="C44:D44"/>
    <mergeCell ref="E44:I44"/>
    <mergeCell ref="C45:D45"/>
    <mergeCell ref="E45:I45"/>
    <mergeCell ref="C40:D40"/>
    <mergeCell ref="E40:I40"/>
    <mergeCell ref="C41:D41"/>
    <mergeCell ref="E41:I41"/>
    <mergeCell ref="C42:D42"/>
    <mergeCell ref="E42:I42"/>
    <mergeCell ref="C37:D37"/>
    <mergeCell ref="E37:I37"/>
    <mergeCell ref="C38:D38"/>
    <mergeCell ref="E38:I38"/>
    <mergeCell ref="C39:D39"/>
    <mergeCell ref="E39:I39"/>
    <mergeCell ref="C34:D34"/>
    <mergeCell ref="E34:I34"/>
    <mergeCell ref="C35:D35"/>
    <mergeCell ref="E35:I35"/>
    <mergeCell ref="C36:D36"/>
    <mergeCell ref="E36:I36"/>
    <mergeCell ref="C28:D28"/>
    <mergeCell ref="E28:I28"/>
    <mergeCell ref="C25:D25"/>
    <mergeCell ref="E25:I25"/>
    <mergeCell ref="C26:D26"/>
    <mergeCell ref="E26:I26"/>
    <mergeCell ref="C27:D27"/>
    <mergeCell ref="E27:I27"/>
    <mergeCell ref="C24:D24"/>
    <mergeCell ref="E24:I24"/>
    <mergeCell ref="C31:D31"/>
    <mergeCell ref="E31:I31"/>
    <mergeCell ref="C32:D32"/>
    <mergeCell ref="E32:I32"/>
    <mergeCell ref="C33:D33"/>
    <mergeCell ref="E33:I33"/>
    <mergeCell ref="C29:D29"/>
    <mergeCell ref="E29:I29"/>
    <mergeCell ref="C30:D30"/>
    <mergeCell ref="E30:I30"/>
    <mergeCell ref="C18:D18"/>
    <mergeCell ref="E18:I18"/>
    <mergeCell ref="D5:E5"/>
    <mergeCell ref="G5:K5"/>
    <mergeCell ref="C15:D15"/>
    <mergeCell ref="E15:I15"/>
    <mergeCell ref="C22:D22"/>
    <mergeCell ref="E22:I22"/>
    <mergeCell ref="C23:D23"/>
    <mergeCell ref="E23:I23"/>
    <mergeCell ref="C19:D19"/>
    <mergeCell ref="E19:I19"/>
    <mergeCell ref="C20:D20"/>
    <mergeCell ref="E20:I20"/>
    <mergeCell ref="C21:D21"/>
    <mergeCell ref="E21:I21"/>
    <mergeCell ref="B4:N4"/>
    <mergeCell ref="A1:N1"/>
    <mergeCell ref="A2:N2"/>
    <mergeCell ref="B13:H13"/>
    <mergeCell ref="I13:K13"/>
    <mergeCell ref="L13:N13"/>
    <mergeCell ref="C16:D16"/>
    <mergeCell ref="E16:I16"/>
    <mergeCell ref="C17:D17"/>
    <mergeCell ref="E17:I17"/>
  </mergeCells>
  <dataValidations count="61">
    <dataValidation type="list" allowBlank="1" showInputMessage="1" showErrorMessage="1" error="Please Enter Grade" sqref="J16">
      <formula1>$T$2:$T$10</formula1>
    </dataValidation>
    <dataValidation type="list" allowBlank="1" showInputMessage="1" showErrorMessage="1" error="Please Enter Grade" sqref="J17">
      <formula1>$T$2:$T$10</formula1>
    </dataValidation>
    <dataValidation type="list" allowBlank="1" showInputMessage="1" showErrorMessage="1" error="Please Enter Grade" sqref="J18">
      <formula1>$T$2:$T$10</formula1>
    </dataValidation>
    <dataValidation type="list" allowBlank="1" showInputMessage="1" showErrorMessage="1" error="Please Enter Grade" sqref="J19">
      <formula1>$T$2:$T$10</formula1>
    </dataValidation>
    <dataValidation type="list" allowBlank="1" showInputMessage="1" showErrorMessage="1" error="Please Enter Grade" sqref="J20">
      <formula1>$T$2:$T$10</formula1>
    </dataValidation>
    <dataValidation type="list" allowBlank="1" showInputMessage="1" showErrorMessage="1" error="Please Enter Grade" sqref="J21">
      <formula1>$T$2:$T$10</formula1>
    </dataValidation>
    <dataValidation type="list" allowBlank="1" showInputMessage="1" showErrorMessage="1" error="Please Enter Grade" sqref="J22">
      <formula1>$T$2:$T$10</formula1>
    </dataValidation>
    <dataValidation type="list" allowBlank="1" showInputMessage="1" showErrorMessage="1" error="Please Enter Grade" sqref="J23">
      <formula1>$T$2:$T$10</formula1>
    </dataValidation>
    <dataValidation type="list" allowBlank="1" showInputMessage="1" showErrorMessage="1" error="Please Enter Grade" sqref="J24">
      <formula1>$T$2:$T$10</formula1>
    </dataValidation>
    <dataValidation type="list" allowBlank="1" showInputMessage="1" showErrorMessage="1" error="Please Enter Grade" sqref="J25">
      <formula1>$T$2:$T$10</formula1>
    </dataValidation>
    <dataValidation type="list" allowBlank="1" showInputMessage="1" showErrorMessage="1" error="Please Enter Grade" sqref="J26">
      <formula1>$T$2:$T$10</formula1>
    </dataValidation>
    <dataValidation type="list" allowBlank="1" showInputMessage="1" showErrorMessage="1" error="Please Enter Grade" sqref="J27">
      <formula1>$T$2:$T$10</formula1>
    </dataValidation>
    <dataValidation type="list" allowBlank="1" showInputMessage="1" showErrorMessage="1" error="Please Enter Grade" sqref="J28">
      <formula1>$T$2:$T$10</formula1>
    </dataValidation>
    <dataValidation type="list" allowBlank="1" showInputMessage="1" showErrorMessage="1" error="Please Enter Grade" sqref="J29">
      <formula1>$T$2:$T$10</formula1>
    </dataValidation>
    <dataValidation type="list" allowBlank="1" showInputMessage="1" showErrorMessage="1" error="Please Enter Grade" sqref="J30">
      <formula1>$T$2:$T$10</formula1>
    </dataValidation>
    <dataValidation type="list" allowBlank="1" showInputMessage="1" showErrorMessage="1" error="Please Enter Grade" sqref="J31">
      <formula1>$T$2:$T$10</formula1>
    </dataValidation>
    <dataValidation type="list" allowBlank="1" showInputMessage="1" showErrorMessage="1" error="Please Enter Grade" sqref="J32">
      <formula1>$T$2:$T$10</formula1>
    </dataValidation>
    <dataValidation type="list" allowBlank="1" showInputMessage="1" showErrorMessage="1" error="Please Enter Grade" sqref="J33">
      <formula1>$T$2:$T$10</formula1>
    </dataValidation>
    <dataValidation type="list" allowBlank="1" showInputMessage="1" showErrorMessage="1" error="Please Enter Grade" sqref="J34">
      <formula1>$T$2:$T$10</formula1>
    </dataValidation>
    <dataValidation type="list" allowBlank="1" showInputMessage="1" showErrorMessage="1" error="Please Enter Grade" sqref="J35">
      <formula1>$T$2:$T$10</formula1>
    </dataValidation>
    <dataValidation type="list" allowBlank="1" showInputMessage="1" showErrorMessage="1" error="Please Enter Grade" sqref="J36">
      <formula1>$T$2:$T$10</formula1>
    </dataValidation>
    <dataValidation type="list" allowBlank="1" showInputMessage="1" showErrorMessage="1" error="Please Enter Grade" sqref="J37">
      <formula1>$T$2:$T$10</formula1>
    </dataValidation>
    <dataValidation type="list" allowBlank="1" showInputMessage="1" showErrorMessage="1" error="Please Enter Grade" sqref="J38">
      <formula1>$T$2:$T$10</formula1>
    </dataValidation>
    <dataValidation type="list" allowBlank="1" showInputMessage="1" showErrorMessage="1" error="Please Enter Grade" sqref="J39">
      <formula1>$T$2:$T$10</formula1>
    </dataValidation>
    <dataValidation type="list" allowBlank="1" showInputMessage="1" showErrorMessage="1" error="Please Enter Grade" sqref="J40">
      <formula1>$T$2:$T$10</formula1>
    </dataValidation>
    <dataValidation type="list" allowBlank="1" showInputMessage="1" showErrorMessage="1" error="Please Enter Grade" sqref="J41">
      <formula1>$T$2:$T$10</formula1>
    </dataValidation>
    <dataValidation type="list" allowBlank="1" showInputMessage="1" showErrorMessage="1" error="Please Enter Grade" sqref="J42">
      <formula1>$T$2:$T$10</formula1>
    </dataValidation>
    <dataValidation type="list" allowBlank="1" showInputMessage="1" showErrorMessage="1" error="Please Enter Grade" sqref="J43">
      <formula1>$T$2:$T$10</formula1>
    </dataValidation>
    <dataValidation type="list" allowBlank="1" showInputMessage="1" showErrorMessage="1" error="Please Enter Grade" sqref="J44">
      <formula1>$T$2:$T$10</formula1>
    </dataValidation>
    <dataValidation type="list" allowBlank="1" showInputMessage="1" showErrorMessage="1" error="Please Enter Grade" sqref="J45">
      <formula1>$T$2:$T$10</formula1>
    </dataValidation>
    <dataValidation type="list" allowBlank="1" showInputMessage="1" showErrorMessage="1" error="Please Enter Grade" sqref="J46">
      <formula1>$T$2:$T$10</formula1>
    </dataValidation>
    <dataValidation type="list" allowBlank="1" showInputMessage="1" showErrorMessage="1" error="Please Enter Grade" sqref="J47">
      <formula1>$T$2:$T$10</formula1>
    </dataValidation>
    <dataValidation type="list" allowBlank="1" showInputMessage="1" showErrorMessage="1" error="Please Enter Grade" sqref="J48">
      <formula1>$T$2:$T$10</formula1>
    </dataValidation>
    <dataValidation type="list" allowBlank="1" showInputMessage="1" showErrorMessage="1" error="Please Enter Grade" sqref="J49">
      <formula1>$T$2:$T$10</formula1>
    </dataValidation>
    <dataValidation type="list" allowBlank="1" showInputMessage="1" showErrorMessage="1" error="Please Enter Grade" sqref="J50">
      <formula1>$T$2:$T$10</formula1>
    </dataValidation>
    <dataValidation type="list" allowBlank="1" showInputMessage="1" showErrorMessage="1" error="Please Enter Grade" sqref="J51">
      <formula1>$T$2:$T$10</formula1>
    </dataValidation>
    <dataValidation type="list" allowBlank="1" showInputMessage="1" showErrorMessage="1" error="Please Enter Grade" sqref="J52">
      <formula1>$T$2:$T$10</formula1>
    </dataValidation>
    <dataValidation type="list" allowBlank="1" showInputMessage="1" showErrorMessage="1" error="Please Enter Grade" sqref="J53">
      <formula1>$T$2:$T$10</formula1>
    </dataValidation>
    <dataValidation type="list" allowBlank="1" showInputMessage="1" showErrorMessage="1" error="Please Enter Grade" sqref="J54">
      <formula1>$T$2:$T$10</formula1>
    </dataValidation>
    <dataValidation type="list" allowBlank="1" showInputMessage="1" showErrorMessage="1" error="Please Enter Grade" sqref="J55">
      <formula1>$T$2:$T$10</formula1>
    </dataValidation>
    <dataValidation type="list" allowBlank="1" showInputMessage="1" showErrorMessage="1" error="Please Enter Grade" sqref="J56">
      <formula1>$T$2:$T$10</formula1>
    </dataValidation>
    <dataValidation type="list" allowBlank="1" showInputMessage="1" showErrorMessage="1" error="Please Enter Grade" sqref="J57">
      <formula1>$T$2:$T$10</formula1>
    </dataValidation>
    <dataValidation type="list" allowBlank="1" showInputMessage="1" showErrorMessage="1" error="Please Enter Grade" sqref="J58">
      <formula1>$T$2:$T$10</formula1>
    </dataValidation>
    <dataValidation type="list" allowBlank="1" showInputMessage="1" showErrorMessage="1" error="Please Enter Grade" sqref="J59">
      <formula1>$T$2:$T$10</formula1>
    </dataValidation>
    <dataValidation type="list" allowBlank="1" showInputMessage="1" showErrorMessage="1" error="Please Enter Grade" sqref="J60">
      <formula1>$T$2:$T$10</formula1>
    </dataValidation>
    <dataValidation type="list" allowBlank="1" showInputMessage="1" showErrorMessage="1" error="Please Enter Grade" sqref="J61">
      <formula1>$T$2:$T$10</formula1>
    </dataValidation>
    <dataValidation type="list" allowBlank="1" showInputMessage="1" showErrorMessage="1" error="Please Enter Grade" sqref="J62">
      <formula1>$T$2:$T$10</formula1>
    </dataValidation>
    <dataValidation type="list" allowBlank="1" showInputMessage="1" showErrorMessage="1" error="Please Enter Grade" sqref="J63">
      <formula1>$T$2:$T$10</formula1>
    </dataValidation>
    <dataValidation type="list" allowBlank="1" showInputMessage="1" showErrorMessage="1" error="Please Enter Grade" sqref="J64">
      <formula1>$T$2:$T$10</formula1>
    </dataValidation>
    <dataValidation type="list" allowBlank="1" showInputMessage="1" showErrorMessage="1" error="Please Enter Grade" sqref="J65">
      <formula1>$T$2:$T$10</formula1>
    </dataValidation>
    <dataValidation type="list" allowBlank="1" showInputMessage="1" showErrorMessage="1" error="Please Enter Grade" sqref="J66">
      <formula1>$T$2:$T$10</formula1>
    </dataValidation>
    <dataValidation type="list" allowBlank="1" showInputMessage="1" showErrorMessage="1" error="Please Enter Grade" sqref="J67">
      <formula1>$T$2:$T$10</formula1>
    </dataValidation>
    <dataValidation type="list" allowBlank="1" showInputMessage="1" showErrorMessage="1" error="Please Enter Grade" sqref="J68">
      <formula1>$T$2:$T$10</formula1>
    </dataValidation>
    <dataValidation type="list" allowBlank="1" showInputMessage="1" showErrorMessage="1" error="Please Enter Grade" sqref="J69">
      <formula1>$T$2:$T$10</formula1>
    </dataValidation>
    <dataValidation type="list" allowBlank="1" showInputMessage="1" showErrorMessage="1" error="Please Enter Grade" sqref="J70">
      <formula1>$T$2:$T$10</formula1>
    </dataValidation>
    <dataValidation type="list" allowBlank="1" showInputMessage="1" showErrorMessage="1" error="Please Enter Grade" sqref="J71">
      <formula1>$T$2:$T$10</formula1>
    </dataValidation>
    <dataValidation type="list" allowBlank="1" showInputMessage="1" showErrorMessage="1" error="Please Enter Grade" sqref="J72">
      <formula1>$T$2:$T$10</formula1>
    </dataValidation>
    <dataValidation type="list" allowBlank="1" showInputMessage="1" showErrorMessage="1" error="Please Enter Grade" sqref="J73">
      <formula1>$T$2:$T$10</formula1>
    </dataValidation>
    <dataValidation type="list" allowBlank="1" showInputMessage="1" showErrorMessage="1" error="Please Enter Grade" sqref="J74">
      <formula1>$T$2:$T$10</formula1>
    </dataValidation>
    <dataValidation type="list" allowBlank="1" showInputMessage="1" showErrorMessage="1" error="Please Enter Grade" sqref="J75">
      <formula1>$T$2:$T$10</formula1>
    </dataValidation>
    <dataValidation type="list" allowBlank="1" showInputMessage="1" showErrorMessage="1" error="Please Enter Grade" sqref="J76">
      <formula1>$T$2:$T$10</formula1>
    </dataValidation>
  </dataValidations>
  <pageMargins left="0" right="0.2" top="0.5" bottom="0.5" header="0.3" footer="0.3"/>
  <pageSetup paperSize="9" scale="85" orientation="landscape" r:id="rId1"/>
  <rowBreaks count="3" manualBreakCount="3">
    <brk id="37" max="16383" man="1"/>
    <brk id="58" max="15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Student List</vt:lpstr>
      <vt:lpstr>Student Details</vt:lpstr>
      <vt:lpstr>Master</vt:lpstr>
      <vt:lpstr>First Test</vt:lpstr>
      <vt:lpstr>Second Test</vt:lpstr>
      <vt:lpstr>Third test</vt:lpstr>
      <vt:lpstr>End Survey</vt:lpstr>
      <vt:lpstr>Analysis</vt:lpstr>
      <vt:lpstr>Exam Marks</vt:lpstr>
      <vt:lpstr>Final Analysis</vt:lpstr>
      <vt:lpstr>Overall Analysis</vt:lpstr>
      <vt:lpstr>'Exam Marks'!Print_Titles</vt:lpstr>
      <vt:lpstr>'First Test'!Print_Titles</vt:lpstr>
      <vt:lpstr>'Second Test'!Print_Titles</vt:lpstr>
      <vt:lpstr>'Third test'!Print_Titles</vt:lpstr>
    </vt:vector>
  </TitlesOfParts>
  <Manager>Bhanu Prakash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SSIT</dc:creator>
  <cp:lastModifiedBy>Dell</cp:lastModifiedBy>
  <cp:lastPrinted>2016-07-02T10:37:02Z</cp:lastPrinted>
  <dcterms:created xsi:type="dcterms:W3CDTF">2014-12-25T05:06:46Z</dcterms:created>
  <dcterms:modified xsi:type="dcterms:W3CDTF">2023-03-16T10:08:25Z</dcterms:modified>
</cp:coreProperties>
</file>